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\BAC\BAC 2023\Competitive Bidding\PMO-01-2023\"/>
    </mc:Choice>
  </mc:AlternateContent>
  <xr:revisionPtr revIDLastSave="0" documentId="8_{801F453F-E81F-4B75-9320-AD347F3BA6B5}" xr6:coauthVersionLast="47" xr6:coauthVersionMax="47" xr10:uidLastSave="{00000000-0000-0000-0000-000000000000}"/>
  <bookViews>
    <workbookView xWindow="-120" yWindow="-120" windowWidth="29040" windowHeight="15840" activeTab="1" xr2:uid="{E07B5F02-8B00-4EF6-A9AD-F6259093ED5D}"/>
  </bookViews>
  <sheets>
    <sheet name="SUMMARY" sheetId="3" r:id="rId1"/>
    <sheet name="MLC" sheetId="2" r:id="rId2"/>
  </sheets>
  <definedNames>
    <definedName name="Excel_BuiltIn_Print_Area_2">#REF!</definedName>
    <definedName name="_xlnm.Print_Area" localSheetId="1">MLC!$A$1:$I$59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6" i="2" l="1"/>
  <c r="I36" i="2"/>
  <c r="H36" i="2"/>
  <c r="G10" i="3"/>
  <c r="G9" i="3"/>
  <c r="J46" i="2"/>
  <c r="J49" i="2" s="1"/>
  <c r="J26" i="2"/>
  <c r="J24" i="2"/>
  <c r="J18" i="2"/>
  <c r="J17" i="2"/>
  <c r="J15" i="2"/>
  <c r="G8" i="3"/>
  <c r="J47" i="2" l="1"/>
  <c r="J50" i="2" s="1"/>
  <c r="J52" i="2" s="1"/>
  <c r="J27" i="2"/>
  <c r="J30" i="2" s="1"/>
  <c r="J48" i="2"/>
  <c r="J16" i="2"/>
  <c r="J21" i="2" s="1"/>
  <c r="J59" i="2" s="1"/>
  <c r="E36" i="2"/>
  <c r="F36" i="2"/>
  <c r="F33" i="2"/>
  <c r="E24" i="2"/>
  <c r="J33" i="2" l="1"/>
  <c r="I46" i="2"/>
  <c r="I49" i="2" s="1"/>
  <c r="C46" i="2"/>
  <c r="E48" i="2" s="1"/>
  <c r="E27" i="2"/>
  <c r="E30" i="2" s="1"/>
  <c r="I26" i="2"/>
  <c r="I24" i="2"/>
  <c r="H24" i="2"/>
  <c r="F24" i="2"/>
  <c r="F20" i="2"/>
  <c r="I18" i="2"/>
  <c r="H18" i="2"/>
  <c r="F18" i="2"/>
  <c r="E18" i="2"/>
  <c r="I17" i="2"/>
  <c r="H17" i="2"/>
  <c r="F17" i="2"/>
  <c r="E17" i="2"/>
  <c r="I15" i="2"/>
  <c r="I27" i="2" s="1"/>
  <c r="H15" i="2"/>
  <c r="H27" i="2" s="1"/>
  <c r="F15" i="2"/>
  <c r="F16" i="2" s="1"/>
  <c r="F21" i="2" s="1"/>
  <c r="E15" i="2"/>
  <c r="E21" i="2" s="1"/>
  <c r="J38" i="2" l="1"/>
  <c r="H30" i="2"/>
  <c r="F59" i="2"/>
  <c r="E33" i="2"/>
  <c r="E59" i="2"/>
  <c r="I30" i="2"/>
  <c r="F27" i="2"/>
  <c r="F30" i="2" s="1"/>
  <c r="I48" i="2"/>
  <c r="E47" i="2"/>
  <c r="E49" i="2"/>
  <c r="I16" i="2"/>
  <c r="I47" i="2"/>
  <c r="I50" i="2" s="1"/>
  <c r="I52" i="2" s="1"/>
  <c r="I20" i="2" s="1"/>
  <c r="J40" i="2" l="1"/>
  <c r="J65" i="2" s="1"/>
  <c r="J67" i="2" s="1"/>
  <c r="I10" i="3" s="1"/>
  <c r="I21" i="2"/>
  <c r="I59" i="2" s="1"/>
  <c r="E50" i="2"/>
  <c r="E52" i="2" s="1"/>
  <c r="H20" i="2" s="1"/>
  <c r="H21" i="2" s="1"/>
  <c r="H59" i="2" s="1"/>
  <c r="F38" i="2"/>
  <c r="I33" i="2"/>
  <c r="E38" i="2"/>
  <c r="H33" i="2" l="1"/>
  <c r="H38" i="2"/>
  <c r="I38" i="2"/>
  <c r="E40" i="2"/>
  <c r="F40" i="2"/>
  <c r="I40" i="2" l="1"/>
  <c r="I65" i="2" s="1"/>
  <c r="I67" i="2" s="1"/>
  <c r="I9" i="3" s="1"/>
  <c r="H40" i="2"/>
  <c r="H65" i="2" s="1"/>
  <c r="H67" i="2" s="1"/>
  <c r="I8" i="3" s="1"/>
  <c r="I11" i="3" s="1"/>
</calcChain>
</file>

<file path=xl/sharedStrings.xml><?xml version="1.0" encoding="utf-8"?>
<sst xmlns="http://schemas.openxmlformats.org/spreadsheetml/2006/main" count="81" uniqueCount="66">
  <si>
    <t>WAGE ORDER NO. NCR-23</t>
  </si>
  <si>
    <t>National Capital Region</t>
  </si>
  <si>
    <t>Effective on 04 June 2022</t>
  </si>
  <si>
    <t>NCR - 8 hours</t>
  </si>
  <si>
    <t>NCR -12 hours</t>
  </si>
  <si>
    <t>Days worked per week</t>
  </si>
  <si>
    <t>6 days</t>
  </si>
  <si>
    <t>No. of Days/year</t>
  </si>
  <si>
    <t>8 hours work/day</t>
  </si>
  <si>
    <t>12 hours work/day</t>
  </si>
  <si>
    <t>Day Shift</t>
  </si>
  <si>
    <t>Night Shift</t>
  </si>
  <si>
    <t>Amount to Guard</t>
  </si>
  <si>
    <t>Daily Wage (DW)</t>
  </si>
  <si>
    <t>P</t>
  </si>
  <si>
    <r>
      <t xml:space="preserve">Ave. Pay/Month </t>
    </r>
    <r>
      <rPr>
        <i/>
        <sz val="12"/>
        <color theme="1"/>
        <rFont val="Times New Roman"/>
        <family val="1"/>
      </rPr>
      <t>(DW x No. of Days per yr/12)</t>
    </r>
  </si>
  <si>
    <r>
      <t xml:space="preserve">Night Differential  </t>
    </r>
    <r>
      <rPr>
        <i/>
        <sz val="12"/>
        <color theme="1"/>
        <rFont val="Times New Roman"/>
        <family val="1"/>
      </rPr>
      <t>(Ave. Pay/mo. X 10% x 1/3)</t>
    </r>
  </si>
  <si>
    <r>
      <t xml:space="preserve">13 Month Pay  </t>
    </r>
    <r>
      <rPr>
        <i/>
        <sz val="12"/>
        <color theme="1"/>
        <rFont val="Times New Roman"/>
        <family val="1"/>
      </rPr>
      <t>(DW X 365 /12 /12 )</t>
    </r>
  </si>
  <si>
    <r>
      <t xml:space="preserve">5 Days Incentive Pay  </t>
    </r>
    <r>
      <rPr>
        <i/>
        <sz val="12"/>
        <color theme="1"/>
        <rFont val="Times New Roman"/>
        <family val="1"/>
      </rPr>
      <t>(DW x 5 / 12)</t>
    </r>
  </si>
  <si>
    <r>
      <t xml:space="preserve">Uniform Allowance </t>
    </r>
    <r>
      <rPr>
        <i/>
        <sz val="12"/>
        <color theme="1"/>
        <rFont val="Times New Roman"/>
        <family val="1"/>
      </rPr>
      <t>(R.A. 5487)</t>
    </r>
  </si>
  <si>
    <t xml:space="preserve">Overtime Pay </t>
  </si>
  <si>
    <t>Amount to Government in Favor of Guards</t>
  </si>
  <si>
    <t>Retirement Benefit (RA 7641) (DW x 22.5/12)</t>
  </si>
  <si>
    <t>SSS Premium (January 2021)</t>
  </si>
  <si>
    <t>SSS Mandatory Providend Fund</t>
  </si>
  <si>
    <t>Philhealth Contribution (PHIC Circular 2020-0005)</t>
  </si>
  <si>
    <t>State Insurance Fund</t>
  </si>
  <si>
    <t>Pag-ibig Fund</t>
  </si>
  <si>
    <t>A. TOTAL AMOUNT TO GUARD &amp; GOV'T.</t>
  </si>
  <si>
    <t>B. AGENCY FEE</t>
  </si>
  <si>
    <r>
      <t>Administrative Overhead and Margin</t>
    </r>
    <r>
      <rPr>
        <i/>
        <sz val="12"/>
        <color theme="1"/>
        <rFont val="Times New Roman"/>
        <family val="1"/>
      </rPr>
      <t xml:space="preserve"> (Min. 20%, Max 24%</t>
    </r>
    <r>
      <rPr>
        <sz val="12"/>
        <color theme="1"/>
        <rFont val="Times New Roman"/>
        <family val="1"/>
      </rPr>
      <t>)</t>
    </r>
  </si>
  <si>
    <r>
      <t xml:space="preserve">C. VALUE ADDED TAX </t>
    </r>
    <r>
      <rPr>
        <sz val="12"/>
        <color theme="1"/>
        <rFont val="Times New Roman"/>
        <family val="1"/>
      </rPr>
      <t>(Agency fee x 12% VAT-RMC-39-2007)</t>
    </r>
  </si>
  <si>
    <t>AVERAGE CONTRACT RATE</t>
  </si>
  <si>
    <t>Overtime Computation (Day Shift)</t>
  </si>
  <si>
    <t>Overtime Computation (Night Shift)</t>
  </si>
  <si>
    <t>Rate per hour</t>
  </si>
  <si>
    <t>Ordinary Working Days (HR x 125% x 295 x 4)</t>
  </si>
  <si>
    <t>Ordinary WD</t>
  </si>
  <si>
    <t>Regular Holidays (HR x 260% X 12 x 4)</t>
  </si>
  <si>
    <t>RD</t>
  </si>
  <si>
    <t>Special Days (HR x 169% x 4 x 4)</t>
  </si>
  <si>
    <t>SD</t>
  </si>
  <si>
    <t>Divided by 12</t>
  </si>
  <si>
    <t>Divided by</t>
  </si>
  <si>
    <t>Monthly overtime pay (4 hours/day)</t>
  </si>
  <si>
    <t>Monthly OT</t>
  </si>
  <si>
    <t xml:space="preserve">Remark(s) </t>
  </si>
  <si>
    <t>Changed the rate for special days since no one should work</t>
  </si>
  <si>
    <t>on a rest day.</t>
  </si>
  <si>
    <t>Basis for SSS (Amount to Guard less 13th month pay)</t>
  </si>
  <si>
    <t>REVISED COST DISTRIBUTION PER MONTH-NCR RATE</t>
  </si>
  <si>
    <t>Wage Order No. NCR-23</t>
  </si>
  <si>
    <t>Effective June 04, 2022</t>
  </si>
  <si>
    <t>No. of guards</t>
  </si>
  <si>
    <t>Amount</t>
  </si>
  <si>
    <t>Signature Over Printed Name of Authorized Signatory</t>
  </si>
  <si>
    <t>TOTAL COST FOR ONE (1) YEAR</t>
  </si>
  <si>
    <t xml:space="preserve">   Regular Guards (DS)</t>
  </si>
  <si>
    <t>TOTAL COST FOR ONE (1) YEAR (AMOUNT IN WORDS)</t>
  </si>
  <si>
    <t>Relievers</t>
  </si>
  <si>
    <t>Total Average Contract Rate Per Month</t>
  </si>
  <si>
    <t xml:space="preserve">No. of Guards To be Assigned </t>
  </si>
  <si>
    <t>Total Cost for One (1) Year of Guards assigned in Mile Long Complex (MLC)</t>
  </si>
  <si>
    <t xml:space="preserve">   Regular Guards (NS)</t>
  </si>
  <si>
    <t xml:space="preserve">   Reliever Guards</t>
  </si>
  <si>
    <t>Total for 1 Year (MLC)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</si>
</sst>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1" applyNumberFormat="1" applyFont="1" applyAlignment="1">
      <alignment horizontal="center"/>
    </xf>
    <xf numFmtId="164" fontId="6" fillId="0" borderId="0" xfId="1" applyFont="1"/>
    <xf numFmtId="0" fontId="7" fillId="0" borderId="0" xfId="0" applyFont="1"/>
    <xf numFmtId="164" fontId="6" fillId="0" borderId="0" xfId="0" applyNumberFormat="1" applyFont="1"/>
    <xf numFmtId="0" fontId="9" fillId="0" borderId="0" xfId="0" applyFont="1"/>
    <xf numFmtId="0" fontId="8" fillId="0" borderId="0" xfId="0" applyFont="1"/>
    <xf numFmtId="164" fontId="7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9" fontId="2" fillId="0" borderId="5" xfId="4" applyFont="1" applyBorder="1" applyAlignment="1" applyProtection="1">
      <alignment wrapText="1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164" fontId="3" fillId="0" borderId="0" xfId="2" applyFont="1" applyProtection="1"/>
    <xf numFmtId="164" fontId="3" fillId="0" borderId="0" xfId="2" applyFont="1" applyAlignment="1" applyProtection="1">
      <alignment horizontal="center"/>
    </xf>
    <xf numFmtId="164" fontId="3" fillId="0" borderId="0" xfId="0" applyNumberFormat="1" applyFont="1" applyProtection="1"/>
    <xf numFmtId="2" fontId="3" fillId="0" borderId="0" xfId="0" applyNumberFormat="1" applyFont="1" applyProtection="1"/>
    <xf numFmtId="164" fontId="3" fillId="0" borderId="1" xfId="2" applyFont="1" applyBorder="1" applyProtection="1"/>
    <xf numFmtId="164" fontId="3" fillId="0" borderId="0" xfId="2" applyFont="1" applyBorder="1" applyAlignment="1" applyProtection="1">
      <alignment horizontal="center"/>
    </xf>
    <xf numFmtId="43" fontId="3" fillId="0" borderId="1" xfId="3" applyFont="1" applyBorder="1" applyProtection="1"/>
    <xf numFmtId="164" fontId="3" fillId="0" borderId="0" xfId="0" applyNumberFormat="1" applyFont="1" applyAlignment="1" applyProtection="1">
      <alignment horizontal="center"/>
    </xf>
    <xf numFmtId="164" fontId="5" fillId="0" borderId="0" xfId="2" applyFont="1" applyProtection="1"/>
    <xf numFmtId="164" fontId="5" fillId="0" borderId="1" xfId="2" applyFont="1" applyBorder="1" applyProtection="1"/>
    <xf numFmtId="164" fontId="5" fillId="0" borderId="0" xfId="0" applyNumberFormat="1" applyFont="1" applyProtection="1"/>
    <xf numFmtId="43" fontId="2" fillId="0" borderId="0" xfId="0" applyNumberFormat="1" applyFont="1" applyProtection="1"/>
    <xf numFmtId="0" fontId="3" fillId="0" borderId="0" xfId="0" applyFont="1" applyAlignment="1" applyProtection="1">
      <alignment horizontal="center" wrapText="1"/>
    </xf>
    <xf numFmtId="164" fontId="2" fillId="0" borderId="0" xfId="2" applyFont="1" applyProtection="1"/>
    <xf numFmtId="164" fontId="2" fillId="0" borderId="0" xfId="2" applyFont="1" applyAlignment="1" applyProtection="1">
      <alignment horizontal="center"/>
    </xf>
    <xf numFmtId="164" fontId="2" fillId="0" borderId="2" xfId="2" applyFont="1" applyBorder="1" applyProtection="1"/>
    <xf numFmtId="43" fontId="2" fillId="0" borderId="2" xfId="0" applyNumberFormat="1" applyFont="1" applyBorder="1" applyProtection="1"/>
    <xf numFmtId="43" fontId="3" fillId="0" borderId="0" xfId="3" applyFont="1" applyProtection="1"/>
    <xf numFmtId="164" fontId="3" fillId="0" borderId="3" xfId="0" applyNumberFormat="1" applyFont="1" applyBorder="1" applyProtection="1"/>
    <xf numFmtId="0" fontId="3" fillId="0" borderId="1" xfId="0" applyFont="1" applyBorder="1" applyProtection="1"/>
    <xf numFmtId="164" fontId="2" fillId="0" borderId="4" xfId="0" applyNumberFormat="1" applyFont="1" applyBorder="1" applyProtection="1"/>
    <xf numFmtId="164" fontId="3" fillId="0" borderId="2" xfId="2" applyFont="1" applyBorder="1" applyProtection="1"/>
    <xf numFmtId="164" fontId="3" fillId="0" borderId="2" xfId="2" applyFont="1" applyBorder="1" applyAlignment="1" applyProtection="1">
      <alignment horizontal="center"/>
    </xf>
    <xf numFmtId="164" fontId="3" fillId="0" borderId="2" xfId="0" applyNumberFormat="1" applyFont="1" applyBorder="1" applyProtection="1"/>
    <xf numFmtId="0" fontId="3" fillId="0" borderId="0" xfId="1" applyNumberFormat="1" applyFont="1" applyAlignment="1" applyProtection="1">
      <alignment horizontal="center"/>
    </xf>
    <xf numFmtId="164" fontId="3" fillId="0" borderId="0" xfId="1" applyFont="1" applyAlignment="1" applyProtection="1">
      <alignment horizontal="left"/>
    </xf>
    <xf numFmtId="164" fontId="2" fillId="0" borderId="2" xfId="0" applyNumberFormat="1" applyFont="1" applyBorder="1" applyProtection="1"/>
    <xf numFmtId="164" fontId="8" fillId="0" borderId="4" xfId="1" applyFont="1" applyBorder="1"/>
    <xf numFmtId="0" fontId="7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</cellXfs>
  <cellStyles count="5">
    <cellStyle name="Comma" xfId="1" builtinId="3"/>
    <cellStyle name="Comma 2" xfId="2" xr:uid="{989A1B9A-EFFD-4F4E-8DFB-A6490F43ECAD}"/>
    <cellStyle name="Comma 3" xfId="3" xr:uid="{2BA04C63-68E6-42D5-9DB1-5053FD563B9F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EBB6B-71E8-4CE9-9970-50C15085FC17}">
  <dimension ref="A1:J33"/>
  <sheetViews>
    <sheetView workbookViewId="0">
      <selection activeCell="F16" sqref="F16"/>
    </sheetView>
  </sheetViews>
  <sheetFormatPr defaultColWidth="9.140625" defaultRowHeight="15" x14ac:dyDescent="0.25"/>
  <cols>
    <col min="1" max="4" width="9.140625" style="3"/>
    <col min="5" max="5" width="11.5703125" style="3" customWidth="1"/>
    <col min="6" max="6" width="15.5703125" style="3" customWidth="1"/>
    <col min="7" max="7" width="12" style="3" bestFit="1" customWidth="1"/>
    <col min="8" max="8" width="9.140625" style="3"/>
    <col min="9" max="10" width="15.42578125" style="3" bestFit="1" customWidth="1"/>
    <col min="11" max="16384" width="9.140625" style="3"/>
  </cols>
  <sheetData>
    <row r="1" spans="1:10" x14ac:dyDescent="0.25">
      <c r="A1" s="3" t="s">
        <v>56</v>
      </c>
    </row>
    <row r="2" spans="1:10" x14ac:dyDescent="0.25">
      <c r="A2" s="3" t="s">
        <v>50</v>
      </c>
    </row>
    <row r="3" spans="1:10" x14ac:dyDescent="0.25">
      <c r="A3" s="3" t="s">
        <v>51</v>
      </c>
    </row>
    <row r="4" spans="1:10" x14ac:dyDescent="0.25">
      <c r="A4" s="3" t="s">
        <v>52</v>
      </c>
    </row>
    <row r="6" spans="1:10" x14ac:dyDescent="0.25">
      <c r="G6" s="3" t="s">
        <v>53</v>
      </c>
      <c r="I6" s="4" t="s">
        <v>54</v>
      </c>
      <c r="J6" s="4"/>
    </row>
    <row r="7" spans="1:10" ht="28.35" customHeight="1" x14ac:dyDescent="0.25">
      <c r="A7" s="17" t="s">
        <v>62</v>
      </c>
      <c r="B7" s="17"/>
      <c r="C7" s="17"/>
      <c r="D7" s="17"/>
      <c r="E7" s="17"/>
      <c r="H7" s="5"/>
      <c r="J7" s="4"/>
    </row>
    <row r="8" spans="1:10" x14ac:dyDescent="0.25">
      <c r="A8" s="18" t="s">
        <v>57</v>
      </c>
      <c r="B8" s="18"/>
      <c r="C8" s="18"/>
      <c r="D8" s="18"/>
      <c r="E8" s="18"/>
      <c r="G8" s="6">
        <f>+MLC!H63</f>
        <v>11</v>
      </c>
      <c r="H8" s="5"/>
      <c r="I8" s="7">
        <f>+MLC!H67</f>
        <v>3955699.7700000005</v>
      </c>
      <c r="J8" s="15"/>
    </row>
    <row r="9" spans="1:10" ht="15" customHeight="1" x14ac:dyDescent="0.25">
      <c r="A9" s="18" t="s">
        <v>63</v>
      </c>
      <c r="B9" s="18"/>
      <c r="C9" s="18"/>
      <c r="D9" s="18"/>
      <c r="E9" s="18"/>
      <c r="G9" s="6">
        <f>+MLC!I63</f>
        <v>11</v>
      </c>
      <c r="H9" s="6"/>
      <c r="I9" s="7">
        <f>+MLC!I67</f>
        <v>4181328.9099999997</v>
      </c>
      <c r="J9" s="15"/>
    </row>
    <row r="10" spans="1:10" ht="15" customHeight="1" x14ac:dyDescent="0.25">
      <c r="A10" s="18" t="s">
        <v>64</v>
      </c>
      <c r="B10" s="18"/>
      <c r="C10" s="18"/>
      <c r="D10" s="18"/>
      <c r="E10" s="18"/>
      <c r="G10" s="6">
        <f>+MLC!J63</f>
        <v>4</v>
      </c>
      <c r="H10" s="6"/>
      <c r="I10" s="7">
        <f>+MLC!J67</f>
        <v>1520483.24</v>
      </c>
      <c r="J10" s="15"/>
    </row>
    <row r="11" spans="1:10" ht="15.75" thickBot="1" x14ac:dyDescent="0.3">
      <c r="A11" s="8"/>
      <c r="B11" s="8"/>
      <c r="C11" s="8"/>
      <c r="D11" s="8"/>
      <c r="E11" s="8"/>
      <c r="G11" s="9"/>
      <c r="H11" s="10"/>
      <c r="I11" s="53">
        <f>ROUND((SUM(I8:I10)),4)</f>
        <v>9657511.9199999999</v>
      </c>
    </row>
    <row r="12" spans="1:10" ht="15.75" thickTop="1" x14ac:dyDescent="0.25">
      <c r="A12" s="11"/>
      <c r="B12" s="11"/>
      <c r="C12" s="11"/>
      <c r="I12" s="12"/>
      <c r="J12" s="12"/>
    </row>
    <row r="13" spans="1:10" x14ac:dyDescent="0.25">
      <c r="B13" s="11"/>
      <c r="C13" s="11"/>
      <c r="I13" s="12"/>
      <c r="J13" s="12"/>
    </row>
    <row r="14" spans="1:10" x14ac:dyDescent="0.25">
      <c r="A14" s="11"/>
      <c r="B14" s="11"/>
      <c r="C14" s="11"/>
      <c r="I14" s="12"/>
      <c r="J14" s="12"/>
    </row>
    <row r="15" spans="1:10" x14ac:dyDescent="0.25">
      <c r="A15" s="11"/>
      <c r="B15" s="11"/>
      <c r="C15" s="11"/>
      <c r="I15" s="12"/>
      <c r="J15" s="12"/>
    </row>
    <row r="16" spans="1:10" x14ac:dyDescent="0.25">
      <c r="A16" s="3" t="s">
        <v>58</v>
      </c>
      <c r="B16" s="11"/>
      <c r="C16" s="11"/>
      <c r="I16" s="12"/>
      <c r="J16" s="12"/>
    </row>
    <row r="17" spans="1:10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12"/>
    </row>
    <row r="18" spans="1:10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12"/>
    </row>
    <row r="19" spans="1:10" x14ac:dyDescent="0.25">
      <c r="A19" s="11"/>
      <c r="B19" s="11"/>
      <c r="C19" s="11"/>
    </row>
    <row r="20" spans="1:10" x14ac:dyDescent="0.25">
      <c r="A20" s="11"/>
      <c r="B20" s="11"/>
      <c r="C20" s="11"/>
    </row>
    <row r="21" spans="1:10" x14ac:dyDescent="0.25">
      <c r="A21" s="13"/>
      <c r="B21" s="11"/>
      <c r="C21" s="55"/>
      <c r="D21" s="55"/>
      <c r="E21" s="55"/>
      <c r="F21" s="55"/>
      <c r="G21" s="55"/>
      <c r="I21" s="12"/>
      <c r="J21" s="12"/>
    </row>
    <row r="22" spans="1:10" x14ac:dyDescent="0.25">
      <c r="A22" s="11"/>
      <c r="B22" s="11"/>
      <c r="C22" s="16" t="s">
        <v>55</v>
      </c>
      <c r="D22" s="16"/>
      <c r="E22" s="16"/>
      <c r="F22" s="16"/>
      <c r="G22" s="16"/>
    </row>
    <row r="23" spans="1:10" x14ac:dyDescent="0.25">
      <c r="A23" s="13"/>
      <c r="B23" s="11"/>
      <c r="C23" s="11"/>
      <c r="I23" s="12"/>
    </row>
    <row r="24" spans="1:10" x14ac:dyDescent="0.25">
      <c r="A24" s="11"/>
      <c r="B24" s="11"/>
      <c r="C24" s="11"/>
      <c r="I24" s="12"/>
      <c r="J24" s="12"/>
    </row>
    <row r="25" spans="1:10" x14ac:dyDescent="0.25">
      <c r="A25" s="11"/>
      <c r="B25" s="11"/>
      <c r="C25" s="11"/>
      <c r="J25" s="12"/>
    </row>
    <row r="26" spans="1:10" x14ac:dyDescent="0.25">
      <c r="A26" s="13"/>
      <c r="B26" s="11"/>
      <c r="C26" s="11"/>
      <c r="I26" s="12"/>
      <c r="J26" s="12"/>
    </row>
    <row r="27" spans="1:10" x14ac:dyDescent="0.25">
      <c r="A27" s="11"/>
      <c r="B27" s="11"/>
      <c r="C27" s="11"/>
      <c r="I27" s="12"/>
      <c r="J27" s="12"/>
    </row>
    <row r="28" spans="1:10" x14ac:dyDescent="0.25">
      <c r="A28" s="13"/>
      <c r="B28" s="11"/>
      <c r="C28" s="11"/>
      <c r="I28" s="12"/>
      <c r="J28" s="12"/>
    </row>
    <row r="31" spans="1:10" x14ac:dyDescent="0.25">
      <c r="A31" s="14"/>
    </row>
    <row r="33" spans="9:10" x14ac:dyDescent="0.25">
      <c r="I33" s="6"/>
      <c r="J33" s="6"/>
    </row>
  </sheetData>
  <sheetProtection algorithmName="SHA-512" hashValue="9g6NbpBm6xw7dsge+yJHELf1wTqY1ksAGKn+dLubHymjuqqK7Hht6Xgshzhs/M7u6wy9C8u37gD08YvXbIMpSw==" saltValue="d/eOC1yfPnJF8GObuNnb3g==" spinCount="100000" sheet="1" objects="1" scenarios="1"/>
  <mergeCells count="7">
    <mergeCell ref="C22:G22"/>
    <mergeCell ref="A7:E7"/>
    <mergeCell ref="A8:E8"/>
    <mergeCell ref="A9:E9"/>
    <mergeCell ref="C21:G21"/>
    <mergeCell ref="A10:E10"/>
    <mergeCell ref="A17:I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A649-59D8-434B-A0B1-F1A147C5F893}">
  <dimension ref="A1:J68"/>
  <sheetViews>
    <sheetView tabSelected="1" topLeftCell="A11" zoomScale="82" zoomScaleNormal="82" workbookViewId="0">
      <selection activeCell="H40" sqref="H40"/>
    </sheetView>
  </sheetViews>
  <sheetFormatPr defaultColWidth="9.140625" defaultRowHeight="15.75" x14ac:dyDescent="0.25"/>
  <cols>
    <col min="1" max="1" width="4.5703125" style="1" customWidth="1"/>
    <col min="2" max="2" width="57.140625" style="1" customWidth="1"/>
    <col min="3" max="3" width="6.5703125" style="1" customWidth="1"/>
    <col min="4" max="4" width="4.140625" style="1" hidden="1" customWidth="1"/>
    <col min="5" max="5" width="18.140625" style="1" hidden="1" customWidth="1"/>
    <col min="6" max="6" width="18" style="1" hidden="1" customWidth="1"/>
    <col min="7" max="7" width="3.42578125" style="2" customWidth="1"/>
    <col min="8" max="8" width="20.42578125" style="1" customWidth="1"/>
    <col min="9" max="10" width="21.140625" style="1" customWidth="1"/>
    <col min="11" max="16384" width="9.140625" style="1"/>
  </cols>
  <sheetData>
    <row r="1" spans="1:10" x14ac:dyDescent="0.25">
      <c r="A1" s="20"/>
      <c r="B1" s="20"/>
      <c r="C1" s="20"/>
      <c r="D1" s="20"/>
      <c r="E1" s="20"/>
      <c r="F1" s="20"/>
      <c r="G1" s="21"/>
      <c r="H1" s="20"/>
      <c r="I1" s="20"/>
      <c r="J1" s="20"/>
    </row>
    <row r="2" spans="1:1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0"/>
    </row>
    <row r="3" spans="1:10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0"/>
    </row>
    <row r="4" spans="1:10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0"/>
    </row>
    <row r="5" spans="1:10" x14ac:dyDescent="0.25">
      <c r="A5" s="20"/>
      <c r="B5" s="20"/>
      <c r="C5" s="20"/>
      <c r="D5" s="20"/>
      <c r="E5" s="20"/>
      <c r="F5" s="20"/>
      <c r="G5" s="21"/>
      <c r="H5" s="20"/>
      <c r="I5" s="20"/>
      <c r="J5" s="20"/>
    </row>
    <row r="6" spans="1:10" ht="18" customHeight="1" x14ac:dyDescent="0.25">
      <c r="A6" s="20"/>
      <c r="B6" s="20"/>
      <c r="C6" s="20"/>
      <c r="D6" s="20"/>
      <c r="E6" s="22" t="s">
        <v>3</v>
      </c>
      <c r="F6" s="22"/>
      <c r="G6" s="24"/>
      <c r="H6" s="22" t="s">
        <v>4</v>
      </c>
      <c r="I6" s="22"/>
      <c r="J6" s="22"/>
    </row>
    <row r="7" spans="1:10" ht="18" customHeight="1" x14ac:dyDescent="0.25">
      <c r="A7" s="20" t="s">
        <v>5</v>
      </c>
      <c r="B7" s="20"/>
      <c r="C7" s="20"/>
      <c r="D7" s="20"/>
      <c r="E7" s="21" t="s">
        <v>6</v>
      </c>
      <c r="F7" s="21" t="s">
        <v>6</v>
      </c>
      <c r="G7" s="21"/>
      <c r="H7" s="21" t="s">
        <v>6</v>
      </c>
      <c r="I7" s="21" t="s">
        <v>6</v>
      </c>
      <c r="J7" s="21" t="s">
        <v>6</v>
      </c>
    </row>
    <row r="8" spans="1:10" ht="18" customHeight="1" x14ac:dyDescent="0.25">
      <c r="A8" s="20" t="s">
        <v>7</v>
      </c>
      <c r="B8" s="20"/>
      <c r="C8" s="20"/>
      <c r="D8" s="20"/>
      <c r="E8" s="21">
        <v>313</v>
      </c>
      <c r="F8" s="21">
        <v>313</v>
      </c>
      <c r="G8" s="21"/>
      <c r="H8" s="21">
        <v>313</v>
      </c>
      <c r="I8" s="21">
        <v>313</v>
      </c>
      <c r="J8" s="21">
        <v>313</v>
      </c>
    </row>
    <row r="9" spans="1:10" ht="18" customHeight="1" x14ac:dyDescent="0.25">
      <c r="A9" s="20"/>
      <c r="B9" s="20"/>
      <c r="C9" s="20"/>
      <c r="D9" s="20"/>
      <c r="E9" s="21" t="s">
        <v>8</v>
      </c>
      <c r="F9" s="21" t="s">
        <v>8</v>
      </c>
      <c r="G9" s="21"/>
      <c r="H9" s="21" t="s">
        <v>9</v>
      </c>
      <c r="I9" s="21" t="s">
        <v>9</v>
      </c>
      <c r="J9" s="21" t="s">
        <v>9</v>
      </c>
    </row>
    <row r="10" spans="1:10" ht="18" customHeight="1" x14ac:dyDescent="0.25">
      <c r="A10" s="20"/>
      <c r="B10" s="20"/>
      <c r="C10" s="20"/>
      <c r="D10" s="20"/>
      <c r="E10" s="21" t="s">
        <v>10</v>
      </c>
      <c r="F10" s="21" t="s">
        <v>11</v>
      </c>
      <c r="G10" s="21"/>
      <c r="H10" s="21" t="s">
        <v>10</v>
      </c>
      <c r="I10" s="21" t="s">
        <v>11</v>
      </c>
      <c r="J10" s="21" t="s">
        <v>59</v>
      </c>
    </row>
    <row r="11" spans="1:10" ht="18" customHeight="1" x14ac:dyDescent="0.25">
      <c r="A11" s="20"/>
      <c r="B11" s="20"/>
      <c r="C11" s="20"/>
      <c r="D11" s="20"/>
      <c r="E11" s="20"/>
      <c r="F11" s="20"/>
      <c r="G11" s="21"/>
      <c r="H11" s="20"/>
      <c r="I11" s="20"/>
      <c r="J11" s="20"/>
    </row>
    <row r="12" spans="1:10" ht="18" customHeight="1" x14ac:dyDescent="0.25">
      <c r="A12" s="25" t="s">
        <v>12</v>
      </c>
      <c r="B12" s="20"/>
      <c r="C12" s="20"/>
      <c r="D12" s="20"/>
      <c r="E12" s="20"/>
      <c r="F12" s="20"/>
      <c r="G12" s="21"/>
      <c r="H12" s="20"/>
      <c r="I12" s="20"/>
      <c r="J12" s="20"/>
    </row>
    <row r="13" spans="1:10" ht="18" customHeight="1" x14ac:dyDescent="0.25">
      <c r="A13" s="20" t="s">
        <v>13</v>
      </c>
      <c r="B13" s="20"/>
      <c r="C13" s="20"/>
      <c r="D13" s="21" t="s">
        <v>14</v>
      </c>
      <c r="E13" s="26">
        <v>570</v>
      </c>
      <c r="F13" s="26">
        <v>570</v>
      </c>
      <c r="G13" s="21" t="s">
        <v>14</v>
      </c>
      <c r="H13" s="26">
        <v>570</v>
      </c>
      <c r="I13" s="26">
        <v>570</v>
      </c>
      <c r="J13" s="26">
        <v>570</v>
      </c>
    </row>
    <row r="14" spans="1:10" ht="18" customHeight="1" x14ac:dyDescent="0.25">
      <c r="A14" s="20"/>
      <c r="B14" s="20"/>
      <c r="C14" s="20"/>
      <c r="D14" s="20"/>
      <c r="E14" s="20"/>
      <c r="F14" s="20"/>
      <c r="G14" s="21"/>
      <c r="H14" s="20"/>
      <c r="I14" s="20"/>
      <c r="J14" s="20"/>
    </row>
    <row r="15" spans="1:10" x14ac:dyDescent="0.25">
      <c r="A15" s="20" t="s">
        <v>15</v>
      </c>
      <c r="B15" s="20"/>
      <c r="C15" s="20"/>
      <c r="D15" s="20"/>
      <c r="E15" s="26">
        <f>ROUND((E13*E8/12),2)</f>
        <v>14867.5</v>
      </c>
      <c r="F15" s="26">
        <f>ROUND((F13*F8/12),2)</f>
        <v>14867.5</v>
      </c>
      <c r="G15" s="27"/>
      <c r="H15" s="26">
        <f>ROUND((H13*H8/12),2)</f>
        <v>14867.5</v>
      </c>
      <c r="I15" s="26">
        <f>ROUND((I13*I8/12),2)</f>
        <v>14867.5</v>
      </c>
      <c r="J15" s="26">
        <f>ROUND((J13*J8/12),2)</f>
        <v>14867.5</v>
      </c>
    </row>
    <row r="16" spans="1:10" ht="19.5" customHeight="1" x14ac:dyDescent="0.25">
      <c r="A16" s="20" t="s">
        <v>16</v>
      </c>
      <c r="B16" s="20"/>
      <c r="C16" s="20"/>
      <c r="D16" s="20"/>
      <c r="E16" s="26">
        <v>0</v>
      </c>
      <c r="F16" s="26">
        <f>F15*10%*1/3</f>
        <v>495.58333333333331</v>
      </c>
      <c r="G16" s="27"/>
      <c r="H16" s="26">
        <v>0</v>
      </c>
      <c r="I16" s="26">
        <f>+I15*10%*1/2</f>
        <v>743.375</v>
      </c>
      <c r="J16" s="26">
        <f>+J15*10%*1/2</f>
        <v>743.375</v>
      </c>
    </row>
    <row r="17" spans="1:10" ht="18" customHeight="1" x14ac:dyDescent="0.25">
      <c r="A17" s="20" t="s">
        <v>17</v>
      </c>
      <c r="B17" s="20"/>
      <c r="C17" s="20"/>
      <c r="D17" s="20"/>
      <c r="E17" s="26">
        <f>ROUND((E13*365/12/12),2)</f>
        <v>1444.79</v>
      </c>
      <c r="F17" s="26">
        <f>ROUND((F13*365/12/12),2)</f>
        <v>1444.79</v>
      </c>
      <c r="G17" s="27"/>
      <c r="H17" s="26">
        <f>ROUND((H13*365/12/12),2)</f>
        <v>1444.79</v>
      </c>
      <c r="I17" s="26">
        <f>ROUND((I13*365/12/12),2)</f>
        <v>1444.79</v>
      </c>
      <c r="J17" s="26">
        <f>ROUND((J13*365/12/12),2)</f>
        <v>1444.79</v>
      </c>
    </row>
    <row r="18" spans="1:10" ht="18" customHeight="1" x14ac:dyDescent="0.25">
      <c r="A18" s="20" t="s">
        <v>18</v>
      </c>
      <c r="B18" s="20"/>
      <c r="C18" s="20"/>
      <c r="D18" s="20"/>
      <c r="E18" s="26">
        <f>+E13*(5/12)</f>
        <v>237.5</v>
      </c>
      <c r="F18" s="26">
        <f>+F13*(5/12)</f>
        <v>237.5</v>
      </c>
      <c r="G18" s="27"/>
      <c r="H18" s="28">
        <f>H13*(5/12)</f>
        <v>237.5</v>
      </c>
      <c r="I18" s="28">
        <f>I13*(5/12)</f>
        <v>237.5</v>
      </c>
      <c r="J18" s="28">
        <f>J13*(5/12)</f>
        <v>237.5</v>
      </c>
    </row>
    <row r="19" spans="1:10" ht="18" customHeight="1" x14ac:dyDescent="0.25">
      <c r="A19" s="20" t="s">
        <v>19</v>
      </c>
      <c r="B19" s="20"/>
      <c r="C19" s="20"/>
      <c r="D19" s="20"/>
      <c r="E19" s="26">
        <v>100</v>
      </c>
      <c r="F19" s="26">
        <v>100</v>
      </c>
      <c r="G19" s="27"/>
      <c r="H19" s="29">
        <v>100</v>
      </c>
      <c r="I19" s="26">
        <v>100</v>
      </c>
      <c r="J19" s="26">
        <v>100</v>
      </c>
    </row>
    <row r="20" spans="1:10" ht="21" customHeight="1" x14ac:dyDescent="0.25">
      <c r="A20" s="20" t="s">
        <v>20</v>
      </c>
      <c r="B20" s="20"/>
      <c r="C20" s="20"/>
      <c r="D20" s="20"/>
      <c r="E20" s="30">
        <v>0</v>
      </c>
      <c r="F20" s="30">
        <f>0*377/12</f>
        <v>0</v>
      </c>
      <c r="G20" s="31"/>
      <c r="H20" s="32">
        <f>+E52</f>
        <v>9659.3625000000011</v>
      </c>
      <c r="I20" s="32">
        <f>+I52</f>
        <v>10625.299166666666</v>
      </c>
      <c r="J20" s="32">
        <v>10625.299166666666</v>
      </c>
    </row>
    <row r="21" spans="1:10" ht="18" customHeight="1" x14ac:dyDescent="0.25">
      <c r="A21" s="20"/>
      <c r="B21" s="20"/>
      <c r="C21" s="20"/>
      <c r="D21" s="20"/>
      <c r="E21" s="28">
        <f>SUM(E15:E20)</f>
        <v>16649.79</v>
      </c>
      <c r="F21" s="28">
        <f>SUM(F15:F20)</f>
        <v>17145.373333333333</v>
      </c>
      <c r="G21" s="33"/>
      <c r="H21" s="28">
        <f>SUM(H15:H20)</f>
        <v>26309.152500000004</v>
      </c>
      <c r="I21" s="28">
        <f>SUM(I15:I20)</f>
        <v>28018.464166666665</v>
      </c>
      <c r="J21" s="28">
        <f>SUM(J15:J20)</f>
        <v>28018.464166666665</v>
      </c>
    </row>
    <row r="22" spans="1:10" ht="18" customHeight="1" x14ac:dyDescent="0.25">
      <c r="A22" s="20"/>
      <c r="B22" s="20"/>
      <c r="C22" s="20"/>
      <c r="D22" s="20"/>
      <c r="E22" s="28"/>
      <c r="F22" s="20"/>
      <c r="G22" s="21"/>
      <c r="H22" s="20"/>
      <c r="I22" s="20"/>
      <c r="J22" s="20"/>
    </row>
    <row r="23" spans="1:10" ht="18" customHeight="1" x14ac:dyDescent="0.25">
      <c r="A23" s="25" t="s">
        <v>21</v>
      </c>
      <c r="B23" s="20"/>
      <c r="C23" s="20"/>
      <c r="D23" s="20"/>
      <c r="E23" s="20"/>
      <c r="F23" s="20"/>
      <c r="G23" s="21"/>
      <c r="H23" s="20"/>
      <c r="I23" s="20"/>
      <c r="J23" s="20"/>
    </row>
    <row r="24" spans="1:10" ht="18" customHeight="1" x14ac:dyDescent="0.25">
      <c r="A24" s="20" t="s">
        <v>22</v>
      </c>
      <c r="B24" s="20"/>
      <c r="C24" s="20"/>
      <c r="D24" s="20"/>
      <c r="E24" s="34">
        <f>+E13*22.5/12</f>
        <v>1068.75</v>
      </c>
      <c r="F24" s="34">
        <f>+F13*22.5/12</f>
        <v>1068.75</v>
      </c>
      <c r="G24" s="27"/>
      <c r="H24" s="26">
        <f>+H13*22.5/12</f>
        <v>1068.75</v>
      </c>
      <c r="I24" s="26">
        <f>+I13*22.5/12</f>
        <v>1068.75</v>
      </c>
      <c r="J24" s="26">
        <f>+J13*22.5/12</f>
        <v>1068.75</v>
      </c>
    </row>
    <row r="25" spans="1:10" ht="18" customHeight="1" x14ac:dyDescent="0.25">
      <c r="A25" s="20" t="s">
        <v>23</v>
      </c>
      <c r="B25" s="20"/>
      <c r="C25" s="20"/>
      <c r="D25" s="20"/>
      <c r="E25" s="34">
        <v>1275</v>
      </c>
      <c r="F25" s="34">
        <v>1317.5</v>
      </c>
      <c r="G25" s="27"/>
      <c r="H25" s="34">
        <v>1700</v>
      </c>
      <c r="I25" s="34">
        <v>1700</v>
      </c>
      <c r="J25" s="34">
        <v>1700</v>
      </c>
    </row>
    <row r="26" spans="1:10" ht="18" customHeight="1" x14ac:dyDescent="0.25">
      <c r="A26" s="20" t="s">
        <v>24</v>
      </c>
      <c r="B26" s="20"/>
      <c r="C26" s="20"/>
      <c r="D26" s="20"/>
      <c r="E26" s="34">
        <v>0</v>
      </c>
      <c r="F26" s="34">
        <v>0</v>
      </c>
      <c r="G26" s="27"/>
      <c r="H26" s="34">
        <v>425</v>
      </c>
      <c r="I26" s="34">
        <f>+H26</f>
        <v>425</v>
      </c>
      <c r="J26" s="34">
        <f>+I26</f>
        <v>425</v>
      </c>
    </row>
    <row r="27" spans="1:10" ht="18" customHeight="1" x14ac:dyDescent="0.25">
      <c r="A27" s="20" t="s">
        <v>25</v>
      </c>
      <c r="B27" s="20"/>
      <c r="C27" s="20"/>
      <c r="D27" s="20"/>
      <c r="E27" s="34">
        <f>(E15*0.045)/2</f>
        <v>334.51875000000001</v>
      </c>
      <c r="F27" s="34">
        <f>(F15*0.045)/2</f>
        <v>334.51875000000001</v>
      </c>
      <c r="G27" s="27"/>
      <c r="H27" s="26">
        <f>ROUND((H15*0.045/2),2)</f>
        <v>334.52</v>
      </c>
      <c r="I27" s="26">
        <f>ROUND((I15*0.045/2),2)</f>
        <v>334.52</v>
      </c>
      <c r="J27" s="26">
        <f>ROUND((J15*0.045/2),2)</f>
        <v>334.52</v>
      </c>
    </row>
    <row r="28" spans="1:10" ht="18" customHeight="1" x14ac:dyDescent="0.25">
      <c r="A28" s="20" t="s">
        <v>26</v>
      </c>
      <c r="B28" s="20"/>
      <c r="C28" s="20"/>
      <c r="D28" s="20"/>
      <c r="E28" s="34">
        <v>30</v>
      </c>
      <c r="F28" s="34">
        <v>30</v>
      </c>
      <c r="G28" s="27"/>
      <c r="H28" s="26">
        <v>30</v>
      </c>
      <c r="I28" s="26">
        <v>30</v>
      </c>
      <c r="J28" s="26">
        <v>30</v>
      </c>
    </row>
    <row r="29" spans="1:10" ht="18" customHeight="1" x14ac:dyDescent="0.25">
      <c r="A29" s="20" t="s">
        <v>27</v>
      </c>
      <c r="B29" s="20"/>
      <c r="C29" s="20"/>
      <c r="D29" s="20"/>
      <c r="E29" s="35">
        <v>100</v>
      </c>
      <c r="F29" s="35">
        <v>100</v>
      </c>
      <c r="G29" s="31"/>
      <c r="H29" s="30">
        <v>100</v>
      </c>
      <c r="I29" s="30">
        <v>100</v>
      </c>
      <c r="J29" s="30">
        <v>100</v>
      </c>
    </row>
    <row r="30" spans="1:10" ht="18" customHeight="1" x14ac:dyDescent="0.25">
      <c r="A30" s="20"/>
      <c r="B30" s="20"/>
      <c r="C30" s="20"/>
      <c r="D30" s="20"/>
      <c r="E30" s="36">
        <f>SUM(E24:E29)</f>
        <v>2808.2687500000002</v>
      </c>
      <c r="F30" s="36">
        <f>SUM(F24:F29)</f>
        <v>2850.7687500000002</v>
      </c>
      <c r="G30" s="33"/>
      <c r="H30" s="28">
        <f>SUM(H24:H29)</f>
        <v>3658.27</v>
      </c>
      <c r="I30" s="28">
        <f>SUM(I24:I29)</f>
        <v>3658.27</v>
      </c>
      <c r="J30" s="28">
        <f>SUM(J24:J29)</f>
        <v>3658.27</v>
      </c>
    </row>
    <row r="31" spans="1:10" ht="18" customHeight="1" x14ac:dyDescent="0.25">
      <c r="A31" s="20"/>
      <c r="B31" s="20"/>
      <c r="C31" s="20"/>
      <c r="D31" s="20"/>
      <c r="E31" s="20"/>
      <c r="F31" s="20"/>
      <c r="G31" s="21"/>
      <c r="H31" s="20"/>
      <c r="I31" s="20"/>
      <c r="J31" s="20"/>
    </row>
    <row r="32" spans="1:10" ht="18" customHeight="1" x14ac:dyDescent="0.25">
      <c r="A32" s="20"/>
      <c r="B32" s="20"/>
      <c r="C32" s="20"/>
      <c r="D32" s="20"/>
      <c r="E32" s="25"/>
      <c r="F32" s="25"/>
      <c r="G32" s="24"/>
      <c r="H32" s="20"/>
      <c r="I32" s="20"/>
      <c r="J32" s="20"/>
    </row>
    <row r="33" spans="1:10" ht="18" customHeight="1" x14ac:dyDescent="0.25">
      <c r="A33" s="25" t="s">
        <v>28</v>
      </c>
      <c r="B33" s="20"/>
      <c r="C33" s="20"/>
      <c r="D33" s="21" t="s">
        <v>14</v>
      </c>
      <c r="E33" s="37">
        <f>+E21+E30</f>
        <v>19458.05875</v>
      </c>
      <c r="F33" s="37">
        <f>+F21+F30</f>
        <v>19996.142083333332</v>
      </c>
      <c r="G33" s="21" t="s">
        <v>14</v>
      </c>
      <c r="H33" s="37">
        <f>+H30+H21</f>
        <v>29967.422500000004</v>
      </c>
      <c r="I33" s="37">
        <f>+I30+I21</f>
        <v>31676.734166666665</v>
      </c>
      <c r="J33" s="37">
        <f>+J30+J21</f>
        <v>31676.734166666665</v>
      </c>
    </row>
    <row r="34" spans="1:10" ht="18" customHeight="1" x14ac:dyDescent="0.25">
      <c r="A34" s="20"/>
      <c r="B34" s="20"/>
      <c r="C34" s="20"/>
      <c r="D34" s="20"/>
      <c r="E34" s="20"/>
      <c r="F34" s="20"/>
      <c r="G34" s="21"/>
      <c r="H34" s="20"/>
      <c r="I34" s="20"/>
      <c r="J34" s="20"/>
    </row>
    <row r="35" spans="1:10" ht="18" customHeight="1" x14ac:dyDescent="0.25">
      <c r="A35" s="25" t="s">
        <v>29</v>
      </c>
      <c r="B35" s="20"/>
      <c r="C35" s="20"/>
      <c r="D35" s="20"/>
      <c r="E35" s="20"/>
      <c r="F35" s="20"/>
      <c r="G35" s="21"/>
      <c r="H35" s="20"/>
      <c r="I35" s="20"/>
      <c r="J35" s="20"/>
    </row>
    <row r="36" spans="1:10" ht="15.75" customHeight="1" x14ac:dyDescent="0.25">
      <c r="A36" s="38" t="s">
        <v>30</v>
      </c>
      <c r="B36" s="38"/>
      <c r="C36" s="19"/>
      <c r="D36" s="20"/>
      <c r="E36" s="39">
        <f>+E33*24%</f>
        <v>4669.9340999999995</v>
      </c>
      <c r="F36" s="39">
        <f>+F33*24%</f>
        <v>4799.0740999999998</v>
      </c>
      <c r="G36" s="40"/>
      <c r="H36" s="37">
        <f>H33*C36</f>
        <v>0</v>
      </c>
      <c r="I36" s="37">
        <f>I33*C36</f>
        <v>0</v>
      </c>
      <c r="J36" s="37">
        <f>J33*C36</f>
        <v>0</v>
      </c>
    </row>
    <row r="37" spans="1:10" ht="18" customHeight="1" x14ac:dyDescent="0.25">
      <c r="A37" s="20"/>
      <c r="B37" s="20"/>
      <c r="C37" s="20"/>
      <c r="D37" s="20"/>
      <c r="E37" s="25"/>
      <c r="F37" s="25"/>
      <c r="G37" s="24"/>
      <c r="H37" s="25"/>
      <c r="I37" s="25"/>
      <c r="J37" s="25"/>
    </row>
    <row r="38" spans="1:10" ht="18" customHeight="1" x14ac:dyDescent="0.25">
      <c r="A38" s="25" t="s">
        <v>31</v>
      </c>
      <c r="B38" s="20"/>
      <c r="C38" s="20"/>
      <c r="D38" s="20"/>
      <c r="E38" s="39">
        <f>+E36*0.12</f>
        <v>560.39209199999993</v>
      </c>
      <c r="F38" s="39">
        <f>+F36*0.12</f>
        <v>575.88889199999994</v>
      </c>
      <c r="G38" s="40"/>
      <c r="H38" s="39">
        <f>+H36*0.12</f>
        <v>0</v>
      </c>
      <c r="I38" s="39">
        <f>+I36*0.12</f>
        <v>0</v>
      </c>
      <c r="J38" s="39">
        <f>+J36*0.12</f>
        <v>0</v>
      </c>
    </row>
    <row r="39" spans="1:10" ht="18" customHeight="1" x14ac:dyDescent="0.25">
      <c r="A39" s="20"/>
      <c r="B39" s="20"/>
      <c r="C39" s="20"/>
      <c r="D39" s="20"/>
      <c r="E39" s="20"/>
      <c r="F39" s="20"/>
      <c r="G39" s="21"/>
      <c r="H39" s="20"/>
      <c r="I39" s="20"/>
      <c r="J39" s="20"/>
    </row>
    <row r="40" spans="1:10" ht="18" customHeight="1" thickBot="1" x14ac:dyDescent="0.3">
      <c r="A40" s="25" t="s">
        <v>32</v>
      </c>
      <c r="B40" s="20"/>
      <c r="C40" s="20"/>
      <c r="D40" s="21" t="s">
        <v>14</v>
      </c>
      <c r="E40" s="41">
        <f>+E33+E36+E38</f>
        <v>24688.384941999997</v>
      </c>
      <c r="F40" s="41">
        <f>+F33+F36+F38</f>
        <v>25371.105075333329</v>
      </c>
      <c r="G40" s="21" t="s">
        <v>14</v>
      </c>
      <c r="H40" s="42">
        <f>H33+H36+H38</f>
        <v>29967.422500000004</v>
      </c>
      <c r="I40" s="42">
        <f>I33+I36+I38</f>
        <v>31676.734166666665</v>
      </c>
      <c r="J40" s="42">
        <f>J33+J36+J38</f>
        <v>31676.734166666665</v>
      </c>
    </row>
    <row r="41" spans="1:10" ht="18" customHeight="1" thickTop="1" x14ac:dyDescent="0.25">
      <c r="A41" s="20"/>
      <c r="B41" s="20"/>
      <c r="C41" s="20"/>
      <c r="D41" s="20"/>
      <c r="E41" s="20"/>
      <c r="F41" s="20"/>
      <c r="G41" s="21"/>
      <c r="H41" s="20"/>
      <c r="I41" s="20"/>
      <c r="J41" s="20"/>
    </row>
    <row r="42" spans="1:10" hidden="1" x14ac:dyDescent="0.25">
      <c r="A42" s="20"/>
      <c r="B42" s="20"/>
      <c r="C42" s="20"/>
      <c r="D42" s="20"/>
      <c r="E42" s="20"/>
      <c r="F42" s="20"/>
      <c r="G42" s="21"/>
      <c r="H42" s="20"/>
      <c r="I42" s="20"/>
      <c r="J42" s="20"/>
    </row>
    <row r="43" spans="1:10" hidden="1" x14ac:dyDescent="0.25">
      <c r="A43" s="20"/>
      <c r="B43" s="20"/>
      <c r="C43" s="20"/>
      <c r="D43" s="20"/>
      <c r="E43" s="26"/>
      <c r="F43" s="26"/>
      <c r="G43" s="27"/>
      <c r="H43" s="20"/>
      <c r="I43" s="20"/>
      <c r="J43" s="20"/>
    </row>
    <row r="44" spans="1:10" hidden="1" x14ac:dyDescent="0.25">
      <c r="A44" s="20"/>
      <c r="B44" s="20" t="s">
        <v>33</v>
      </c>
      <c r="C44" s="20"/>
      <c r="D44" s="20"/>
      <c r="E44" s="28"/>
      <c r="F44" s="28"/>
      <c r="G44" s="33"/>
      <c r="H44" s="20" t="s">
        <v>34</v>
      </c>
      <c r="I44" s="20"/>
      <c r="J44" s="20"/>
    </row>
    <row r="45" spans="1:10" hidden="1" x14ac:dyDescent="0.25">
      <c r="A45" s="20"/>
      <c r="B45" s="20"/>
      <c r="C45" s="20"/>
      <c r="D45" s="20"/>
      <c r="E45" s="20"/>
      <c r="F45" s="20"/>
      <c r="G45" s="21"/>
      <c r="H45" s="20"/>
      <c r="I45" s="20"/>
      <c r="J45" s="20"/>
    </row>
    <row r="46" spans="1:10" hidden="1" x14ac:dyDescent="0.25">
      <c r="A46" s="20"/>
      <c r="B46" s="20" t="s">
        <v>35</v>
      </c>
      <c r="C46" s="33">
        <f>E13/8</f>
        <v>71.25</v>
      </c>
      <c r="D46" s="20"/>
      <c r="E46" s="20"/>
      <c r="F46" s="20"/>
      <c r="G46" s="21"/>
      <c r="H46" s="20" t="s">
        <v>35</v>
      </c>
      <c r="I46" s="33">
        <f>I13/8</f>
        <v>71.25</v>
      </c>
      <c r="J46" s="33">
        <f>J13/8</f>
        <v>71.25</v>
      </c>
    </row>
    <row r="47" spans="1:10" hidden="1" x14ac:dyDescent="0.25">
      <c r="A47" s="21">
        <v>295</v>
      </c>
      <c r="B47" s="20" t="s">
        <v>36</v>
      </c>
      <c r="C47" s="20"/>
      <c r="D47" s="20"/>
      <c r="E47" s="26">
        <f>ROUND((C46*1.25*295*4),2)</f>
        <v>105093.75</v>
      </c>
      <c r="F47" s="20"/>
      <c r="G47" s="21"/>
      <c r="H47" s="20" t="s">
        <v>37</v>
      </c>
      <c r="I47" s="43">
        <f>ROUND((I46*1.375*A47*4),2)</f>
        <v>115603.13</v>
      </c>
      <c r="J47" s="43" t="e">
        <f>ROUND((J46*1.375*B47*4),2)</f>
        <v>#VALUE!</v>
      </c>
    </row>
    <row r="48" spans="1:10" hidden="1" x14ac:dyDescent="0.25">
      <c r="A48" s="21">
        <v>12</v>
      </c>
      <c r="B48" s="20" t="s">
        <v>38</v>
      </c>
      <c r="C48" s="20"/>
      <c r="D48" s="20"/>
      <c r="E48" s="26">
        <f>ROUND((C46*2.6*12*4),2)</f>
        <v>8892</v>
      </c>
      <c r="F48" s="20"/>
      <c r="G48" s="21"/>
      <c r="H48" s="20" t="s">
        <v>39</v>
      </c>
      <c r="I48" s="43">
        <f>ROUND((I46*2.86*A48*4),2)</f>
        <v>9781.2000000000007</v>
      </c>
      <c r="J48" s="43" t="e">
        <f>ROUND((J46*2.86*B48*4),2)</f>
        <v>#VALUE!</v>
      </c>
    </row>
    <row r="49" spans="1:10" hidden="1" x14ac:dyDescent="0.25">
      <c r="A49" s="21">
        <v>4</v>
      </c>
      <c r="B49" s="20" t="s">
        <v>40</v>
      </c>
      <c r="C49" s="20"/>
      <c r="D49" s="20"/>
      <c r="E49" s="26">
        <f>ROUND((C46*1.69*4*4),2)</f>
        <v>1926.6</v>
      </c>
      <c r="F49" s="20"/>
      <c r="G49" s="21"/>
      <c r="H49" s="20" t="s">
        <v>41</v>
      </c>
      <c r="I49" s="32">
        <f>ROUND((I46*1.859*A49*4),2)</f>
        <v>2119.2600000000002</v>
      </c>
      <c r="J49" s="32" t="e">
        <f>ROUND((J46*1.859*B49*4),2)</f>
        <v>#VALUE!</v>
      </c>
    </row>
    <row r="50" spans="1:10" hidden="1" x14ac:dyDescent="0.25">
      <c r="A50" s="20"/>
      <c r="B50" s="20"/>
      <c r="C50" s="20"/>
      <c r="D50" s="20"/>
      <c r="E50" s="44">
        <f>SUM(E47:E49)</f>
        <v>115912.35</v>
      </c>
      <c r="F50" s="20"/>
      <c r="G50" s="21"/>
      <c r="H50" s="20"/>
      <c r="I50" s="43">
        <f>SUM(I47:I49)</f>
        <v>127503.59</v>
      </c>
      <c r="J50" s="43" t="e">
        <f>SUM(J47:J49)</f>
        <v>#VALUE!</v>
      </c>
    </row>
    <row r="51" spans="1:10" hidden="1" x14ac:dyDescent="0.25">
      <c r="A51" s="20"/>
      <c r="B51" s="20" t="s">
        <v>42</v>
      </c>
      <c r="C51" s="20"/>
      <c r="D51" s="20"/>
      <c r="E51" s="45">
        <v>12</v>
      </c>
      <c r="F51" s="20"/>
      <c r="G51" s="21"/>
      <c r="H51" s="20" t="s">
        <v>43</v>
      </c>
      <c r="I51" s="45">
        <v>12</v>
      </c>
      <c r="J51" s="45">
        <v>12</v>
      </c>
    </row>
    <row r="52" spans="1:10" ht="16.5" hidden="1" thickBot="1" x14ac:dyDescent="0.3">
      <c r="A52" s="20"/>
      <c r="B52" s="20" t="s">
        <v>44</v>
      </c>
      <c r="C52" s="20"/>
      <c r="D52" s="20"/>
      <c r="E52" s="41">
        <f>E50/E51</f>
        <v>9659.3625000000011</v>
      </c>
      <c r="F52" s="20"/>
      <c r="G52" s="21"/>
      <c r="H52" s="20" t="s">
        <v>45</v>
      </c>
      <c r="I52" s="46">
        <f>I50/I51</f>
        <v>10625.299166666666</v>
      </c>
      <c r="J52" s="46" t="e">
        <f>J50/J51</f>
        <v>#VALUE!</v>
      </c>
    </row>
    <row r="53" spans="1:10" hidden="1" x14ac:dyDescent="0.25">
      <c r="A53" s="20"/>
      <c r="B53" s="20"/>
      <c r="C53" s="20"/>
      <c r="D53" s="20"/>
      <c r="E53" s="20"/>
      <c r="F53" s="20"/>
      <c r="G53" s="21"/>
      <c r="H53" s="20"/>
      <c r="I53" s="20"/>
      <c r="J53" s="20"/>
    </row>
    <row r="54" spans="1:10" hidden="1" x14ac:dyDescent="0.25">
      <c r="A54" s="20"/>
      <c r="B54" s="25" t="s">
        <v>46</v>
      </c>
      <c r="C54" s="20"/>
      <c r="D54" s="20"/>
      <c r="E54" s="28"/>
      <c r="F54" s="20"/>
      <c r="G54" s="21"/>
      <c r="H54" s="25"/>
      <c r="I54" s="20"/>
      <c r="J54" s="20"/>
    </row>
    <row r="55" spans="1:10" ht="15" hidden="1" customHeight="1" x14ac:dyDescent="0.25">
      <c r="A55" s="20"/>
      <c r="B55" s="20" t="s">
        <v>47</v>
      </c>
      <c r="C55" s="20"/>
      <c r="D55" s="20"/>
      <c r="E55" s="20"/>
      <c r="F55" s="20"/>
      <c r="G55" s="21"/>
      <c r="H55" s="20"/>
      <c r="I55" s="20"/>
      <c r="J55" s="20"/>
    </row>
    <row r="56" spans="1:10" hidden="1" x14ac:dyDescent="0.25">
      <c r="A56" s="20"/>
      <c r="B56" s="20" t="s">
        <v>48</v>
      </c>
      <c r="C56" s="20"/>
      <c r="D56" s="20"/>
      <c r="E56" s="20"/>
      <c r="F56" s="20"/>
      <c r="G56" s="21"/>
      <c r="H56" s="20"/>
      <c r="I56" s="20"/>
      <c r="J56" s="20"/>
    </row>
    <row r="57" spans="1:10" hidden="1" x14ac:dyDescent="0.25">
      <c r="A57" s="20"/>
      <c r="B57" s="20"/>
      <c r="C57" s="20"/>
      <c r="D57" s="20"/>
      <c r="E57" s="20"/>
      <c r="F57" s="20"/>
      <c r="G57" s="21"/>
      <c r="H57" s="20"/>
      <c r="I57" s="20"/>
      <c r="J57" s="20"/>
    </row>
    <row r="58" spans="1:10" hidden="1" x14ac:dyDescent="0.25">
      <c r="A58" s="20"/>
      <c r="B58" s="20"/>
      <c r="C58" s="20"/>
      <c r="D58" s="20"/>
      <c r="E58" s="20"/>
      <c r="F58" s="20"/>
      <c r="G58" s="21"/>
      <c r="H58" s="20"/>
      <c r="I58" s="20"/>
      <c r="J58" s="20"/>
    </row>
    <row r="59" spans="1:10" ht="18" hidden="1" customHeight="1" thickBot="1" x14ac:dyDescent="0.3">
      <c r="A59" s="20"/>
      <c r="B59" s="20" t="s">
        <v>49</v>
      </c>
      <c r="C59" s="20"/>
      <c r="D59" s="20"/>
      <c r="E59" s="47">
        <f>E21-E17</f>
        <v>15205</v>
      </c>
      <c r="F59" s="47">
        <f>F21-F17</f>
        <v>15700.583333333332</v>
      </c>
      <c r="G59" s="48"/>
      <c r="H59" s="49">
        <f>H21-H17</f>
        <v>24864.362500000003</v>
      </c>
      <c r="I59" s="49">
        <f>I21-I17</f>
        <v>26573.674166666664</v>
      </c>
      <c r="J59" s="49">
        <f>J21-J17</f>
        <v>26573.674166666664</v>
      </c>
    </row>
    <row r="60" spans="1:10" hidden="1" x14ac:dyDescent="0.25">
      <c r="A60" s="20"/>
      <c r="B60" s="20"/>
      <c r="C60" s="20"/>
      <c r="D60" s="20"/>
      <c r="E60" s="20"/>
      <c r="F60" s="20"/>
      <c r="G60" s="21"/>
      <c r="H60" s="20"/>
      <c r="I60" s="20"/>
      <c r="J60" s="20"/>
    </row>
    <row r="61" spans="1:10" hidden="1" x14ac:dyDescent="0.25">
      <c r="A61" s="20"/>
      <c r="B61" s="20"/>
      <c r="C61" s="20"/>
      <c r="D61" s="20"/>
      <c r="E61" s="20"/>
      <c r="F61" s="20"/>
      <c r="G61" s="21"/>
      <c r="H61" s="20"/>
      <c r="I61" s="20"/>
      <c r="J61" s="20"/>
    </row>
    <row r="62" spans="1:10" hidden="1" x14ac:dyDescent="0.25">
      <c r="A62" s="20"/>
      <c r="B62" s="20"/>
      <c r="C62" s="20"/>
      <c r="D62" s="20"/>
      <c r="E62" s="20"/>
      <c r="F62" s="20"/>
      <c r="G62" s="21"/>
      <c r="H62" s="20"/>
      <c r="I62" s="20"/>
      <c r="J62" s="20"/>
    </row>
    <row r="63" spans="1:10" x14ac:dyDescent="0.25">
      <c r="A63" s="20" t="s">
        <v>61</v>
      </c>
      <c r="B63" s="20"/>
      <c r="C63" s="20"/>
      <c r="D63" s="20"/>
      <c r="E63" s="20"/>
      <c r="F63" s="20"/>
      <c r="G63" s="21"/>
      <c r="H63" s="50">
        <v>11</v>
      </c>
      <c r="I63" s="50">
        <v>11</v>
      </c>
      <c r="J63" s="50">
        <v>4</v>
      </c>
    </row>
    <row r="64" spans="1:10" x14ac:dyDescent="0.25">
      <c r="A64" s="20"/>
      <c r="B64" s="20"/>
      <c r="C64" s="20"/>
      <c r="D64" s="20"/>
      <c r="E64" s="20"/>
      <c r="F64" s="20"/>
      <c r="G64" s="21"/>
      <c r="H64" s="51"/>
      <c r="I64" s="51"/>
      <c r="J64" s="51"/>
    </row>
    <row r="65" spans="1:10" x14ac:dyDescent="0.25">
      <c r="A65" s="20" t="s">
        <v>60</v>
      </c>
      <c r="B65" s="20"/>
      <c r="C65" s="20"/>
      <c r="D65" s="20"/>
      <c r="E65" s="20"/>
      <c r="F65" s="20"/>
      <c r="G65" s="21"/>
      <c r="H65" s="51">
        <f>H63*H40</f>
        <v>329641.64750000002</v>
      </c>
      <c r="I65" s="51">
        <f>I63*I40</f>
        <v>348444.07583333331</v>
      </c>
      <c r="J65" s="51">
        <f>J63*J40</f>
        <v>126706.93666666666</v>
      </c>
    </row>
    <row r="66" spans="1:10" x14ac:dyDescent="0.25">
      <c r="A66" s="20"/>
      <c r="B66" s="20"/>
      <c r="C66" s="20"/>
      <c r="D66" s="20"/>
      <c r="E66" s="20"/>
      <c r="F66" s="20"/>
      <c r="G66" s="21"/>
      <c r="H66" s="20"/>
      <c r="I66" s="20"/>
      <c r="J66" s="20"/>
    </row>
    <row r="67" spans="1:10" ht="16.5" thickBot="1" x14ac:dyDescent="0.3">
      <c r="A67" s="20" t="s">
        <v>65</v>
      </c>
      <c r="B67" s="20"/>
      <c r="C67" s="20"/>
      <c r="D67" s="20"/>
      <c r="E67" s="20"/>
      <c r="F67" s="20"/>
      <c r="G67" s="21"/>
      <c r="H67" s="52">
        <f>H65*12</f>
        <v>3955699.7700000005</v>
      </c>
      <c r="I67" s="52">
        <f>I65*12</f>
        <v>4181328.9099999997</v>
      </c>
      <c r="J67" s="52">
        <f>J65*12</f>
        <v>1520483.24</v>
      </c>
    </row>
    <row r="68" spans="1:10" ht="16.5" thickTop="1" x14ac:dyDescent="0.25"/>
  </sheetData>
  <sheetProtection algorithmName="SHA-512" hashValue="58ezzSgpv6jDYZs5+lBf76NBoGd6oTw0HR6BvQhRFa+vowYCbcHweVF2+jCNom6w0ZUmsxBVT2fJjrwW3TQsHA==" saltValue="7v7Wv8lme+df32pcaUE1QA==" spinCount="100000" sheet="1" objects="1" scenarios="1"/>
  <mergeCells count="6">
    <mergeCell ref="A2:I2"/>
    <mergeCell ref="A3:I3"/>
    <mergeCell ref="A4:I4"/>
    <mergeCell ref="E6:F6"/>
    <mergeCell ref="H6:J6"/>
    <mergeCell ref="A36:B36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MLC</vt:lpstr>
      <vt:lpstr>MLC!Print_Area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 Valdeabella</dc:creator>
  <cp:lastModifiedBy>Noreen Antonio</cp:lastModifiedBy>
  <dcterms:created xsi:type="dcterms:W3CDTF">2022-09-08T07:38:08Z</dcterms:created>
  <dcterms:modified xsi:type="dcterms:W3CDTF">2022-10-18T09:19:42Z</dcterms:modified>
</cp:coreProperties>
</file>