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\BAC\BAC 2023\Competitive Bidding\PMO-01-2023\"/>
    </mc:Choice>
  </mc:AlternateContent>
  <xr:revisionPtr revIDLastSave="0" documentId="8_{5302E861-D294-4C4F-A8AB-D400B5AD1FAC}" xr6:coauthVersionLast="47" xr6:coauthVersionMax="47" xr10:uidLastSave="{00000000-0000-0000-0000-000000000000}"/>
  <bookViews>
    <workbookView xWindow="-120" yWindow="-120" windowWidth="29040" windowHeight="15840" activeTab="7" xr2:uid="{E07B5F02-8B00-4EF6-A9AD-F6259093ED5D}"/>
  </bookViews>
  <sheets>
    <sheet name="SUM" sheetId="3" r:id="rId1"/>
    <sheet name="PMO" sheetId="2" r:id="rId2"/>
    <sheet name="Warehouse" sheetId="4" r:id="rId3"/>
    <sheet name="Norzagaray" sheetId="6" r:id="rId4"/>
    <sheet name="Hermosa" sheetId="9" r:id="rId5"/>
    <sheet name="Mariveles" sheetId="8" r:id="rId6"/>
    <sheet name="Angono" sheetId="10" r:id="rId7"/>
    <sheet name="Rosario" sheetId="11" r:id="rId8"/>
    <sheet name="AO" sheetId="12" r:id="rId9"/>
  </sheets>
  <definedNames>
    <definedName name="Excel_BuiltIn_Print_Area_2" localSheetId="8">#REF!</definedName>
    <definedName name="Excel_BuiltIn_Print_Area_2">#REF!</definedName>
    <definedName name="_xlnm.Print_Area" localSheetId="6">Angono!$A$1:$I$59</definedName>
    <definedName name="_xlnm.Print_Area" localSheetId="4">Hermosa!$A$1:$F$59</definedName>
    <definedName name="_xlnm.Print_Area" localSheetId="5">Mariveles!$A$1:$I$59</definedName>
    <definedName name="_xlnm.Print_Area" localSheetId="3">Norzagaray!$A$1:$I$59</definedName>
    <definedName name="_xlnm.Print_Area" localSheetId="1">PMO!$A$1:$I$59</definedName>
    <definedName name="_xlnm.Print_Area" localSheetId="7">Rosario!$A$1:$I$59</definedName>
    <definedName name="_xlnm.Print_Area" localSheetId="2">Warehouse!$A$1:$I$59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2" l="1"/>
  <c r="J36" i="11"/>
  <c r="F36" i="11"/>
  <c r="E36" i="11"/>
  <c r="H36" i="2"/>
  <c r="I36" i="2"/>
  <c r="J36" i="2"/>
  <c r="G36" i="9"/>
  <c r="F36" i="9"/>
  <c r="E36" i="9"/>
  <c r="I12" i="12"/>
  <c r="J36" i="4"/>
  <c r="I36" i="4"/>
  <c r="H36" i="4"/>
  <c r="H15" i="2"/>
  <c r="H17" i="3"/>
  <c r="J24" i="11"/>
  <c r="J20" i="11"/>
  <c r="J18" i="11"/>
  <c r="J17" i="11"/>
  <c r="J15" i="11"/>
  <c r="J27" i="11" s="1"/>
  <c r="J30" i="11" s="1"/>
  <c r="H16" i="3"/>
  <c r="J24" i="10"/>
  <c r="J20" i="10"/>
  <c r="J18" i="10"/>
  <c r="J17" i="10"/>
  <c r="J15" i="10"/>
  <c r="J27" i="10" s="1"/>
  <c r="J30" i="10" s="1"/>
  <c r="H12" i="3"/>
  <c r="G24" i="9"/>
  <c r="G20" i="9"/>
  <c r="G18" i="9"/>
  <c r="G17" i="9"/>
  <c r="G15" i="9"/>
  <c r="G27" i="9" s="1"/>
  <c r="G30" i="9" s="1"/>
  <c r="H11" i="3"/>
  <c r="J24" i="6"/>
  <c r="J20" i="6"/>
  <c r="J18" i="6"/>
  <c r="J17" i="6"/>
  <c r="J15" i="6"/>
  <c r="J27" i="6" s="1"/>
  <c r="J30" i="6" s="1"/>
  <c r="J49" i="4"/>
  <c r="J48" i="4"/>
  <c r="J47" i="4"/>
  <c r="J50" i="4" s="1"/>
  <c r="J52" i="4" s="1"/>
  <c r="J46" i="4"/>
  <c r="J26" i="4"/>
  <c r="J24" i="4"/>
  <c r="J18" i="4"/>
  <c r="J17" i="4"/>
  <c r="J15" i="4"/>
  <c r="H7" i="3"/>
  <c r="J16" i="11" l="1"/>
  <c r="J21" i="11" s="1"/>
  <c r="J16" i="10"/>
  <c r="J21" i="10" s="1"/>
  <c r="G16" i="9"/>
  <c r="G21" i="9" s="1"/>
  <c r="J16" i="6"/>
  <c r="J21" i="6" s="1"/>
  <c r="J16" i="4"/>
  <c r="J21" i="4" s="1"/>
  <c r="J59" i="4" s="1"/>
  <c r="J27" i="4"/>
  <c r="J30" i="4" s="1"/>
  <c r="J46" i="2"/>
  <c r="J47" i="2" s="1"/>
  <c r="J50" i="2" s="1"/>
  <c r="J52" i="2" s="1"/>
  <c r="J26" i="2"/>
  <c r="J24" i="2"/>
  <c r="J18" i="2"/>
  <c r="J17" i="2"/>
  <c r="J15" i="2"/>
  <c r="J58" i="11" l="1"/>
  <c r="J33" i="11"/>
  <c r="J58" i="10"/>
  <c r="J33" i="10"/>
  <c r="J36" i="10" s="1"/>
  <c r="G58" i="9"/>
  <c r="G33" i="9"/>
  <c r="J58" i="6"/>
  <c r="J33" i="6"/>
  <c r="J36" i="6" s="1"/>
  <c r="J33" i="4"/>
  <c r="J38" i="4" s="1"/>
  <c r="J27" i="2"/>
  <c r="J30" i="2" s="1"/>
  <c r="J48" i="2"/>
  <c r="J49" i="2"/>
  <c r="J16" i="2"/>
  <c r="J21" i="2" s="1"/>
  <c r="J59" i="2" s="1"/>
  <c r="C13" i="12"/>
  <c r="D13" i="12" s="1"/>
  <c r="D16" i="12" s="1"/>
  <c r="I9" i="12" s="1"/>
  <c r="C10" i="12"/>
  <c r="I7" i="12"/>
  <c r="E7" i="12"/>
  <c r="C16" i="12" l="1"/>
  <c r="E16" i="12" s="1"/>
  <c r="E18" i="12" s="1"/>
  <c r="E21" i="12" s="1"/>
  <c r="E23" i="12" s="1"/>
  <c r="I10" i="12"/>
  <c r="J38" i="11"/>
  <c r="J38" i="10"/>
  <c r="G38" i="9"/>
  <c r="J38" i="6"/>
  <c r="J40" i="4"/>
  <c r="J65" i="4" s="1"/>
  <c r="J67" i="4" s="1"/>
  <c r="J33" i="2"/>
  <c r="J38" i="2"/>
  <c r="I11" i="12" l="1"/>
  <c r="J40" i="11"/>
  <c r="J40" i="10"/>
  <c r="J64" i="10" s="1"/>
  <c r="J66" i="10" s="1"/>
  <c r="G40" i="9"/>
  <c r="G64" i="9" s="1"/>
  <c r="G66" i="9" s="1"/>
  <c r="J40" i="6"/>
  <c r="J63" i="6" s="1"/>
  <c r="J65" i="6" s="1"/>
  <c r="J40" i="2"/>
  <c r="J65" i="2" s="1"/>
  <c r="J67" i="2" s="1"/>
  <c r="E25" i="12"/>
  <c r="E31" i="12" s="1"/>
  <c r="E33" i="12" s="1"/>
  <c r="I20" i="3" s="1"/>
  <c r="J64" i="11" l="1"/>
  <c r="J66" i="11" s="1"/>
  <c r="I64" i="11"/>
  <c r="I66" i="11" s="1"/>
  <c r="H64" i="11"/>
  <c r="H66" i="11" s="1"/>
  <c r="G58" i="11"/>
  <c r="I46" i="11"/>
  <c r="I49" i="11" s="1"/>
  <c r="C46" i="11"/>
  <c r="E48" i="11" s="1"/>
  <c r="I24" i="11"/>
  <c r="H24" i="11"/>
  <c r="H30" i="11" s="1"/>
  <c r="F24" i="11"/>
  <c r="E24" i="11"/>
  <c r="G23" i="11"/>
  <c r="F20" i="11"/>
  <c r="I18" i="11"/>
  <c r="H18" i="11"/>
  <c r="F18" i="11"/>
  <c r="E18" i="11"/>
  <c r="I17" i="11"/>
  <c r="H17" i="11"/>
  <c r="F17" i="11"/>
  <c r="E17" i="11"/>
  <c r="I15" i="11"/>
  <c r="I27" i="11" s="1"/>
  <c r="H15" i="11"/>
  <c r="H27" i="11" s="1"/>
  <c r="F15" i="11"/>
  <c r="F27" i="11" s="1"/>
  <c r="E15" i="11"/>
  <c r="E27" i="11" s="1"/>
  <c r="I64" i="10"/>
  <c r="I66" i="10" s="1"/>
  <c r="H64" i="10"/>
  <c r="H66" i="10" s="1"/>
  <c r="G58" i="10"/>
  <c r="I46" i="10"/>
  <c r="I48" i="10" s="1"/>
  <c r="C46" i="10"/>
  <c r="E48" i="10" s="1"/>
  <c r="I24" i="10"/>
  <c r="H24" i="10"/>
  <c r="F24" i="10"/>
  <c r="E24" i="10"/>
  <c r="G23" i="10"/>
  <c r="F20" i="10"/>
  <c r="I18" i="10"/>
  <c r="H18" i="10"/>
  <c r="F18" i="10"/>
  <c r="E18" i="10"/>
  <c r="I17" i="10"/>
  <c r="H17" i="10"/>
  <c r="F17" i="10"/>
  <c r="E17" i="10"/>
  <c r="I15" i="10"/>
  <c r="I27" i="10" s="1"/>
  <c r="H15" i="10"/>
  <c r="H27" i="10" s="1"/>
  <c r="F15" i="10"/>
  <c r="F27" i="10" s="1"/>
  <c r="E15" i="10"/>
  <c r="E27" i="10" s="1"/>
  <c r="H13" i="3"/>
  <c r="C46" i="8"/>
  <c r="E47" i="8" s="1"/>
  <c r="E48" i="8"/>
  <c r="C46" i="9"/>
  <c r="E48" i="9" s="1"/>
  <c r="F24" i="9"/>
  <c r="E24" i="9"/>
  <c r="F20" i="9"/>
  <c r="F18" i="9"/>
  <c r="E18" i="9"/>
  <c r="F17" i="9"/>
  <c r="E17" i="9"/>
  <c r="F15" i="9"/>
  <c r="F16" i="9" s="1"/>
  <c r="F21" i="9" s="1"/>
  <c r="E15" i="9"/>
  <c r="E27" i="9" s="1"/>
  <c r="C46" i="6"/>
  <c r="E47" i="6" s="1"/>
  <c r="I46" i="6"/>
  <c r="I47" i="6" s="1"/>
  <c r="E48" i="6"/>
  <c r="I48" i="6"/>
  <c r="G58" i="6"/>
  <c r="G58" i="8"/>
  <c r="I46" i="8"/>
  <c r="I48" i="8" s="1"/>
  <c r="E49" i="8"/>
  <c r="H24" i="8"/>
  <c r="F24" i="8"/>
  <c r="E24" i="8"/>
  <c r="F20" i="8"/>
  <c r="H18" i="8"/>
  <c r="F18" i="8"/>
  <c r="E18" i="8"/>
  <c r="H17" i="8"/>
  <c r="F17" i="8"/>
  <c r="E17" i="8"/>
  <c r="H15" i="8"/>
  <c r="H27" i="8" s="1"/>
  <c r="F15" i="8"/>
  <c r="F27" i="8" s="1"/>
  <c r="E15" i="8"/>
  <c r="E27" i="8" s="1"/>
  <c r="I24" i="6"/>
  <c r="H24" i="6"/>
  <c r="F24" i="6"/>
  <c r="E24" i="6"/>
  <c r="F20" i="6"/>
  <c r="I18" i="6"/>
  <c r="H18" i="6"/>
  <c r="F18" i="6"/>
  <c r="E18" i="6"/>
  <c r="I17" i="6"/>
  <c r="H17" i="6"/>
  <c r="F17" i="6"/>
  <c r="E17" i="6"/>
  <c r="I15" i="6"/>
  <c r="I16" i="6" s="1"/>
  <c r="H15" i="6"/>
  <c r="H27" i="6" s="1"/>
  <c r="F15" i="6"/>
  <c r="F16" i="6" s="1"/>
  <c r="E15" i="6"/>
  <c r="E27" i="6" s="1"/>
  <c r="F30" i="11" l="1"/>
  <c r="E30" i="10"/>
  <c r="F30" i="10"/>
  <c r="F16" i="8"/>
  <c r="I47" i="8"/>
  <c r="H30" i="8"/>
  <c r="I49" i="8"/>
  <c r="I50" i="8" s="1"/>
  <c r="I52" i="8" s="1"/>
  <c r="I21" i="8" s="1"/>
  <c r="I58" i="8" s="1"/>
  <c r="E30" i="9"/>
  <c r="I50" i="6"/>
  <c r="I52" i="6" s="1"/>
  <c r="E50" i="6"/>
  <c r="E52" i="6" s="1"/>
  <c r="I49" i="6"/>
  <c r="F21" i="6"/>
  <c r="F58" i="6" s="1"/>
  <c r="E30" i="6"/>
  <c r="F27" i="6"/>
  <c r="F30" i="6" s="1"/>
  <c r="E49" i="6"/>
  <c r="F27" i="9"/>
  <c r="F30" i="9"/>
  <c r="I30" i="8"/>
  <c r="I30" i="11"/>
  <c r="E30" i="11"/>
  <c r="I48" i="11"/>
  <c r="F16" i="11"/>
  <c r="F21" i="11" s="1"/>
  <c r="E47" i="11"/>
  <c r="E49" i="11"/>
  <c r="I16" i="11"/>
  <c r="E21" i="11"/>
  <c r="I47" i="11"/>
  <c r="I50" i="11" s="1"/>
  <c r="I52" i="11" s="1"/>
  <c r="I20" i="11" s="1"/>
  <c r="I21" i="11" s="1"/>
  <c r="I58" i="11" s="1"/>
  <c r="H30" i="10"/>
  <c r="I30" i="10"/>
  <c r="F16" i="10"/>
  <c r="F21" i="10" s="1"/>
  <c r="E47" i="10"/>
  <c r="E49" i="10"/>
  <c r="I16" i="10"/>
  <c r="E21" i="10"/>
  <c r="I47" i="10"/>
  <c r="I49" i="10"/>
  <c r="F33" i="9"/>
  <c r="F58" i="9"/>
  <c r="E47" i="9"/>
  <c r="E49" i="9"/>
  <c r="E21" i="9"/>
  <c r="E30" i="8"/>
  <c r="F30" i="8"/>
  <c r="E21" i="8"/>
  <c r="F21" i="8"/>
  <c r="H30" i="6"/>
  <c r="I27" i="6"/>
  <c r="I30" i="6" s="1"/>
  <c r="E21" i="6"/>
  <c r="E58" i="6" s="1"/>
  <c r="E50" i="11" l="1"/>
  <c r="E52" i="11" s="1"/>
  <c r="H20" i="11" s="1"/>
  <c r="H21" i="11" s="1"/>
  <c r="H58" i="11" s="1"/>
  <c r="F33" i="6"/>
  <c r="F36" i="6" s="1"/>
  <c r="F38" i="6" s="1"/>
  <c r="F58" i="11"/>
  <c r="F33" i="11"/>
  <c r="E58" i="11"/>
  <c r="E33" i="11"/>
  <c r="I33" i="11"/>
  <c r="H33" i="11"/>
  <c r="F58" i="10"/>
  <c r="F33" i="10"/>
  <c r="F36" i="10" s="1"/>
  <c r="E50" i="10"/>
  <c r="E52" i="10" s="1"/>
  <c r="H20" i="10" s="1"/>
  <c r="H21" i="10" s="1"/>
  <c r="H58" i="10" s="1"/>
  <c r="I50" i="10"/>
  <c r="I52" i="10" s="1"/>
  <c r="I20" i="10" s="1"/>
  <c r="I21" i="10" s="1"/>
  <c r="E58" i="10"/>
  <c r="E33" i="10"/>
  <c r="E36" i="10" s="1"/>
  <c r="E58" i="9"/>
  <c r="E33" i="9"/>
  <c r="E50" i="9"/>
  <c r="E52" i="9" s="1"/>
  <c r="F38" i="9"/>
  <c r="E58" i="8"/>
  <c r="E33" i="8"/>
  <c r="E50" i="8"/>
  <c r="E52" i="8" s="1"/>
  <c r="H20" i="8" s="1"/>
  <c r="H21" i="8" s="1"/>
  <c r="I33" i="8"/>
  <c r="I36" i="8" s="1"/>
  <c r="F58" i="8"/>
  <c r="F33" i="8"/>
  <c r="H20" i="6"/>
  <c r="H21" i="6" s="1"/>
  <c r="H58" i="6" s="1"/>
  <c r="E33" i="6"/>
  <c r="E36" i="6" s="1"/>
  <c r="I20" i="6"/>
  <c r="I21" i="6" s="1"/>
  <c r="I58" i="6" s="1"/>
  <c r="E38" i="11" l="1"/>
  <c r="H36" i="11"/>
  <c r="H38" i="11" s="1"/>
  <c r="F38" i="11"/>
  <c r="F40" i="11" s="1"/>
  <c r="F64" i="11" s="1"/>
  <c r="F66" i="11" s="1"/>
  <c r="I36" i="11"/>
  <c r="I38" i="11" s="1"/>
  <c r="H33" i="10"/>
  <c r="I58" i="10"/>
  <c r="I33" i="10"/>
  <c r="E38" i="10"/>
  <c r="F38" i="10"/>
  <c r="H36" i="10"/>
  <c r="H38" i="10" s="1"/>
  <c r="F40" i="9"/>
  <c r="F64" i="9" s="1"/>
  <c r="F66" i="9" s="1"/>
  <c r="E38" i="9"/>
  <c r="E40" i="9" s="1"/>
  <c r="E64" i="9" s="1"/>
  <c r="E66" i="9" s="1"/>
  <c r="I12" i="3" s="1"/>
  <c r="H58" i="8"/>
  <c r="H33" i="8"/>
  <c r="H36" i="8" s="1"/>
  <c r="I38" i="8"/>
  <c r="F36" i="8"/>
  <c r="F38" i="8" s="1"/>
  <c r="E36" i="8"/>
  <c r="E38" i="8" s="1"/>
  <c r="H33" i="6"/>
  <c r="F40" i="6"/>
  <c r="F63" i="6" s="1"/>
  <c r="F65" i="6" s="1"/>
  <c r="E38" i="6"/>
  <c r="I33" i="6"/>
  <c r="H40" i="11" l="1"/>
  <c r="I40" i="11"/>
  <c r="E40" i="11"/>
  <c r="E64" i="11" s="1"/>
  <c r="E66" i="11" s="1"/>
  <c r="I17" i="3" s="1"/>
  <c r="H40" i="10"/>
  <c r="E40" i="10"/>
  <c r="E64" i="10" s="1"/>
  <c r="E66" i="10" s="1"/>
  <c r="F40" i="10"/>
  <c r="F64" i="10" s="1"/>
  <c r="F66" i="10" s="1"/>
  <c r="I36" i="10"/>
  <c r="I38" i="10" s="1"/>
  <c r="I40" i="8"/>
  <c r="I65" i="8" s="1"/>
  <c r="I67" i="8" s="1"/>
  <c r="E40" i="8"/>
  <c r="H38" i="8"/>
  <c r="F40" i="8"/>
  <c r="E40" i="6"/>
  <c r="E63" i="6" s="1"/>
  <c r="E65" i="6" s="1"/>
  <c r="I11" i="3" s="1"/>
  <c r="I36" i="6"/>
  <c r="I38" i="6" s="1"/>
  <c r="I63" i="6" s="1"/>
  <c r="I65" i="6" s="1"/>
  <c r="H36" i="6"/>
  <c r="H38" i="6" s="1"/>
  <c r="H63" i="6" s="1"/>
  <c r="H65" i="6" s="1"/>
  <c r="I40" i="10" l="1"/>
  <c r="I16" i="3"/>
  <c r="H40" i="6"/>
  <c r="H40" i="8"/>
  <c r="H65" i="8" s="1"/>
  <c r="H67" i="8" s="1"/>
  <c r="I13" i="3" s="1"/>
  <c r="I40" i="6"/>
  <c r="H8" i="3" l="1"/>
  <c r="F59" i="4"/>
  <c r="E59" i="4"/>
  <c r="I46" i="4"/>
  <c r="I49" i="4" s="1"/>
  <c r="C46" i="4"/>
  <c r="E49" i="4" s="1"/>
  <c r="I27" i="4"/>
  <c r="I26" i="4"/>
  <c r="I30" i="4" s="1"/>
  <c r="I24" i="4"/>
  <c r="H24" i="4"/>
  <c r="H30" i="4" s="1"/>
  <c r="F24" i="4"/>
  <c r="E24" i="4"/>
  <c r="E30" i="4" s="1"/>
  <c r="E21" i="4"/>
  <c r="F20" i="4"/>
  <c r="I18" i="4"/>
  <c r="H18" i="4"/>
  <c r="F18" i="4"/>
  <c r="E18" i="4"/>
  <c r="I17" i="4"/>
  <c r="H17" i="4"/>
  <c r="F17" i="4"/>
  <c r="E17" i="4"/>
  <c r="I16" i="4"/>
  <c r="I15" i="4"/>
  <c r="H15" i="4"/>
  <c r="H27" i="4" s="1"/>
  <c r="F15" i="4"/>
  <c r="F16" i="4" s="1"/>
  <c r="E15" i="4"/>
  <c r="E27" i="4" s="1"/>
  <c r="H22" i="3" l="1"/>
  <c r="E48" i="4"/>
  <c r="I48" i="4"/>
  <c r="E47" i="4"/>
  <c r="I47" i="4"/>
  <c r="F21" i="4"/>
  <c r="E33" i="4"/>
  <c r="F27" i="4"/>
  <c r="F30" i="4" s="1"/>
  <c r="I50" i="4" l="1"/>
  <c r="I52" i="4" s="1"/>
  <c r="I20" i="4" s="1"/>
  <c r="I21" i="4" s="1"/>
  <c r="I59" i="4" s="1"/>
  <c r="E50" i="4"/>
  <c r="E52" i="4" s="1"/>
  <c r="I33" i="4"/>
  <c r="E36" i="4"/>
  <c r="E38" i="4" s="1"/>
  <c r="F33" i="4"/>
  <c r="H20" i="4"/>
  <c r="H21" i="4" s="1"/>
  <c r="H59" i="4" s="1"/>
  <c r="H33" i="4" l="1"/>
  <c r="E40" i="4"/>
  <c r="F40" i="4"/>
  <c r="F36" i="4"/>
  <c r="F38" i="4" s="1"/>
  <c r="I38" i="4"/>
  <c r="I40" i="4" l="1"/>
  <c r="I65" i="4" s="1"/>
  <c r="I67" i="4" s="1"/>
  <c r="H38" i="4"/>
  <c r="H40" i="4" s="1"/>
  <c r="H65" i="4" s="1"/>
  <c r="H67" i="4" s="1"/>
  <c r="I8" i="3" l="1"/>
  <c r="E36" i="2"/>
  <c r="F36" i="2"/>
  <c r="F33" i="2"/>
  <c r="E24" i="2"/>
  <c r="I46" i="2" l="1"/>
  <c r="I49" i="2" s="1"/>
  <c r="C46" i="2"/>
  <c r="E48" i="2" s="1"/>
  <c r="E27" i="2"/>
  <c r="E30" i="2" s="1"/>
  <c r="I26" i="2"/>
  <c r="I24" i="2"/>
  <c r="H24" i="2"/>
  <c r="F24" i="2"/>
  <c r="F20" i="2"/>
  <c r="I18" i="2"/>
  <c r="H18" i="2"/>
  <c r="F18" i="2"/>
  <c r="E18" i="2"/>
  <c r="I17" i="2"/>
  <c r="H17" i="2"/>
  <c r="F17" i="2"/>
  <c r="E17" i="2"/>
  <c r="I15" i="2"/>
  <c r="I27" i="2" s="1"/>
  <c r="H27" i="2"/>
  <c r="F15" i="2"/>
  <c r="F16" i="2" s="1"/>
  <c r="F21" i="2" s="1"/>
  <c r="E15" i="2"/>
  <c r="E21" i="2" s="1"/>
  <c r="H30" i="2" l="1"/>
  <c r="F59" i="2"/>
  <c r="E33" i="2"/>
  <c r="E59" i="2"/>
  <c r="I30" i="2"/>
  <c r="F27" i="2"/>
  <c r="F30" i="2" s="1"/>
  <c r="I48" i="2"/>
  <c r="E47" i="2"/>
  <c r="E49" i="2"/>
  <c r="I16" i="2"/>
  <c r="I47" i="2"/>
  <c r="I50" i="2" s="1"/>
  <c r="I52" i="2" s="1"/>
  <c r="I20" i="2" s="1"/>
  <c r="I21" i="2" l="1"/>
  <c r="I59" i="2" s="1"/>
  <c r="E50" i="2"/>
  <c r="E52" i="2" s="1"/>
  <c r="H20" i="2" s="1"/>
  <c r="H21" i="2" s="1"/>
  <c r="H59" i="2" s="1"/>
  <c r="F38" i="2"/>
  <c r="I33" i="2"/>
  <c r="E38" i="2"/>
  <c r="H33" i="2" l="1"/>
  <c r="H38" i="2"/>
  <c r="I38" i="2"/>
  <c r="E40" i="2"/>
  <c r="F40" i="2"/>
  <c r="I40" i="2" l="1"/>
  <c r="I65" i="2" s="1"/>
  <c r="I67" i="2" s="1"/>
  <c r="H40" i="2"/>
  <c r="H65" i="2" l="1"/>
  <c r="H67" i="2" s="1"/>
  <c r="I7" i="3" s="1"/>
  <c r="I22" i="3" s="1"/>
</calcChain>
</file>

<file path=xl/sharedStrings.xml><?xml version="1.0" encoding="utf-8"?>
<sst xmlns="http://schemas.openxmlformats.org/spreadsheetml/2006/main" count="534" uniqueCount="125">
  <si>
    <t>TOTAL COST FOR ONE (1) YEAR</t>
  </si>
  <si>
    <t>2023 REVISED COST DISTRIBUTION PER MONTH</t>
  </si>
  <si>
    <t>Wage Order Nos. NCR-23,RBIII-23 &amp; IVA-19 effective June 2022</t>
  </si>
  <si>
    <t>NO. OF GUARDS</t>
  </si>
  <si>
    <t>AMOUNT</t>
  </si>
  <si>
    <t>I. NCR</t>
  </si>
  <si>
    <t xml:space="preserve">     PMO Building, Makati City</t>
  </si>
  <si>
    <t xml:space="preserve">     Warehouse, Valenzuela City</t>
  </si>
  <si>
    <t>II. Region III</t>
  </si>
  <si>
    <t xml:space="preserve">     Lot, Norzagaray, Bulacan</t>
  </si>
  <si>
    <t xml:space="preserve">     Lot, Hermosa, Bataan</t>
  </si>
  <si>
    <t xml:space="preserve">     Lot, Mariveles, Bataan</t>
  </si>
  <si>
    <t>III. Region IV-A</t>
  </si>
  <si>
    <t xml:space="preserve">     Lot, Angono, Rizal</t>
  </si>
  <si>
    <t xml:space="preserve">     Lot, Rosario, Cavite</t>
  </si>
  <si>
    <t>IV. Others</t>
  </si>
  <si>
    <t xml:space="preserve">     Account Officer (Security Manager) for Luzon-NCR</t>
  </si>
  <si>
    <t>Total Cost for One (1) Year - NCR/Luzon Region (Various Assets)</t>
  </si>
  <si>
    <t>TOTAL COST FOR ONE (1) YEAR (AMOUNT IN WORDS)</t>
  </si>
  <si>
    <t>Signature Over Printed Name of Authorized Signatory</t>
  </si>
  <si>
    <t>WAGE ORDER NO. NCR-23</t>
  </si>
  <si>
    <t>National Capital Region</t>
  </si>
  <si>
    <t>Effective on 04 June 2022</t>
  </si>
  <si>
    <t>NCR - 8 hours</t>
  </si>
  <si>
    <t>NCR -12 hours</t>
  </si>
  <si>
    <t>Days worked per week</t>
  </si>
  <si>
    <t>6 days</t>
  </si>
  <si>
    <t>No. of Days/year</t>
  </si>
  <si>
    <t>8 hours work/day</t>
  </si>
  <si>
    <t>12 hours work/day</t>
  </si>
  <si>
    <t>Day Shift</t>
  </si>
  <si>
    <t>Night Shift</t>
  </si>
  <si>
    <t>Relievers</t>
  </si>
  <si>
    <t>Amount to Guard</t>
  </si>
  <si>
    <t>Daily Wage (DW)</t>
  </si>
  <si>
    <t>P</t>
  </si>
  <si>
    <r>
      <t xml:space="preserve">Ave. Pay/Month </t>
    </r>
    <r>
      <rPr>
        <i/>
        <sz val="12"/>
        <color theme="1"/>
        <rFont val="Times New Roman"/>
        <family val="1"/>
      </rPr>
      <t>(DW x No. of Days per yr/12)</t>
    </r>
  </si>
  <si>
    <r>
      <t xml:space="preserve">Night Differential  </t>
    </r>
    <r>
      <rPr>
        <i/>
        <sz val="12"/>
        <color theme="1"/>
        <rFont val="Times New Roman"/>
        <family val="1"/>
      </rPr>
      <t>(Ave. Pay/mo. X 10% x 1/3)</t>
    </r>
  </si>
  <si>
    <r>
      <t xml:space="preserve">13 Month Pay  </t>
    </r>
    <r>
      <rPr>
        <i/>
        <sz val="12"/>
        <color theme="1"/>
        <rFont val="Times New Roman"/>
        <family val="1"/>
      </rPr>
      <t>(DW X 365 /12 /12 )</t>
    </r>
  </si>
  <si>
    <r>
      <t xml:space="preserve">5 Days Incentive Pay  </t>
    </r>
    <r>
      <rPr>
        <i/>
        <sz val="12"/>
        <color theme="1"/>
        <rFont val="Times New Roman"/>
        <family val="1"/>
      </rPr>
      <t>(DW x 5 / 12)</t>
    </r>
  </si>
  <si>
    <r>
      <t xml:space="preserve">Uniform Allowance </t>
    </r>
    <r>
      <rPr>
        <i/>
        <sz val="12"/>
        <color theme="1"/>
        <rFont val="Times New Roman"/>
        <family val="1"/>
      </rPr>
      <t>(R.A. 5487)</t>
    </r>
  </si>
  <si>
    <t xml:space="preserve">Overtime Pay </t>
  </si>
  <si>
    <t>Amount to Government in Favor of Guards</t>
  </si>
  <si>
    <t>Retirement Benefit (RA 7641) (DW x 22.5/12)</t>
  </si>
  <si>
    <t>SSS Premium (January 2021)</t>
  </si>
  <si>
    <t>SSS Mandatory Providend Fund</t>
  </si>
  <si>
    <t>Philhealth Contribution (PHIC Circular 2020-0005)</t>
  </si>
  <si>
    <t>State Insurance Fund</t>
  </si>
  <si>
    <t>Pag-ibig Fund</t>
  </si>
  <si>
    <t>A. TOTAL AMOUNT TO GUARD &amp; GOV'T.</t>
  </si>
  <si>
    <t>B. AGENCY FEE</t>
  </si>
  <si>
    <r>
      <t>Administrative Overhead and Margin</t>
    </r>
    <r>
      <rPr>
        <i/>
        <sz val="12"/>
        <color theme="1"/>
        <rFont val="Times New Roman"/>
        <family val="1"/>
      </rPr>
      <t xml:space="preserve"> (Min. 20%, Max 24%</t>
    </r>
    <r>
      <rPr>
        <sz val="12"/>
        <color theme="1"/>
        <rFont val="Times New Roman"/>
        <family val="1"/>
      </rPr>
      <t>)</t>
    </r>
  </si>
  <si>
    <r>
      <t xml:space="preserve">C. VALUE ADDED TAX </t>
    </r>
    <r>
      <rPr>
        <sz val="12"/>
        <color theme="1"/>
        <rFont val="Times New Roman"/>
        <family val="1"/>
      </rPr>
      <t>(Agency fee x 12% VAT-RMC-39-2007)</t>
    </r>
  </si>
  <si>
    <t>AVERAGE CONTRACT RATE</t>
  </si>
  <si>
    <t>TOTAL COST FOR ONE (1) YEAR ASSIGNED IN NCR</t>
  </si>
  <si>
    <t>Overtime Computation (Day Shift)</t>
  </si>
  <si>
    <t>Overtime Computation (Night Shift)</t>
  </si>
  <si>
    <t>Rate per hour</t>
  </si>
  <si>
    <t>Ordinary Working Days (HR x 125% x 295 x 4)</t>
  </si>
  <si>
    <t>Ordinary WD</t>
  </si>
  <si>
    <t>Regular Holidays (HR x 260% X 12 x 4)</t>
  </si>
  <si>
    <t>RD</t>
  </si>
  <si>
    <t>Special Days (HR x 169% x 4 x 4)</t>
  </si>
  <si>
    <t>SD</t>
  </si>
  <si>
    <t>Divided by 12</t>
  </si>
  <si>
    <t>Divided by</t>
  </si>
  <si>
    <t>Monthly overtime pay (4 hours/day)</t>
  </si>
  <si>
    <t>Monthly OT</t>
  </si>
  <si>
    <t xml:space="preserve">Remark(s) </t>
  </si>
  <si>
    <t>Changed the rate for special days since no one should work</t>
  </si>
  <si>
    <t>on a rest day.</t>
  </si>
  <si>
    <t>Basis for SSS (Amount to Guard less 13th month pay)</t>
  </si>
  <si>
    <t xml:space="preserve">No. of Guards To be Assigned </t>
  </si>
  <si>
    <t>Total Average Contract Rate Per Month</t>
  </si>
  <si>
    <t>Total for 1 Year (PMO Building, Makati City)</t>
  </si>
  <si>
    <t>Total for 1 Year (Warehouse in Valenzuela City)</t>
  </si>
  <si>
    <t>WAGE ORDER NO. RBIII-23</t>
  </si>
  <si>
    <t>Region III (Central Luzon)</t>
  </si>
  <si>
    <t>Effective on 20 June 2022</t>
  </si>
  <si>
    <t xml:space="preserve"> </t>
  </si>
  <si>
    <t>Bulacan &amp; Bataan-8 hours</t>
  </si>
  <si>
    <t>TOTAL COST FOR ONE (1) YEAR ASSIGNED IN REGION III</t>
  </si>
  <si>
    <t>Total for 1 Year (Lot in Norzagaray, Bulacan)</t>
  </si>
  <si>
    <t>Bulacan &amp; Bataan-12 hours</t>
  </si>
  <si>
    <t>Total for 1 Year (Lot in Hermosa, Bataan)</t>
  </si>
  <si>
    <t>Reliever</t>
  </si>
  <si>
    <t>Total for 1 Year (Lot in Mariveles, Bataan)</t>
  </si>
  <si>
    <t>WAGE ORDER NO. IVA-19</t>
  </si>
  <si>
    <t>Region IV-A (CALABARZON)</t>
  </si>
  <si>
    <t>Effective on 30 June 2022</t>
  </si>
  <si>
    <t>Rizal &amp; Rosario, Cavite - 8 hours</t>
  </si>
  <si>
    <t>Rizal &amp; Rosario, Cavite - 12 hours</t>
  </si>
  <si>
    <t>Retirement Benefit (RA 7641) (DW x 22.5 / 12)</t>
  </si>
  <si>
    <t>Philhealth Contribution (PHIC Advisory 2022-0010)</t>
  </si>
  <si>
    <t>TOTAL COST FOR ONE (1) YEAR ASSIGNED IN REGION IV-A</t>
  </si>
  <si>
    <t>Total for 1 Year (Lot in Angono, Rizal)</t>
  </si>
  <si>
    <t>Total for 1 Year (Lot in Rosario, Cavite)</t>
  </si>
  <si>
    <t>Account Officer (Security Manager)</t>
  </si>
  <si>
    <t>Amount Due Directly to AO/SM</t>
  </si>
  <si>
    <t>Estimated monthly wage</t>
  </si>
  <si>
    <t>13th Month Pay</t>
  </si>
  <si>
    <t>Gross Pay</t>
  </si>
  <si>
    <t>GROSS PAY</t>
  </si>
  <si>
    <t>Less:</t>
  </si>
  <si>
    <t>Amount Due to Government in favor of Guards</t>
  </si>
  <si>
    <t>ER Share</t>
  </si>
  <si>
    <t>EE Share</t>
  </si>
  <si>
    <t xml:space="preserve">         Statutory deductions (SSS,PHIC,Pag-Ibig)</t>
  </si>
  <si>
    <r>
      <t xml:space="preserve">Retirement Benefit (RA 7641) </t>
    </r>
    <r>
      <rPr>
        <i/>
        <sz val="11"/>
        <rFont val="Calibri (Body)"/>
      </rPr>
      <t>(570*22.5</t>
    </r>
    <r>
      <rPr>
        <sz val="11"/>
        <rFont val="Calibri"/>
        <family val="2"/>
        <scheme val="minor"/>
      </rPr>
      <t>/12)</t>
    </r>
  </si>
  <si>
    <t xml:space="preserve">Net Amount before  tax </t>
  </si>
  <si>
    <t xml:space="preserve">SSS Premium </t>
  </si>
  <si>
    <t>Less:  Withholding Tax</t>
  </si>
  <si>
    <t>SSS Mandatory Provident Fund</t>
  </si>
  <si>
    <t>Estimated Net pay after tax</t>
  </si>
  <si>
    <t xml:space="preserve">Philhealth Contribution </t>
  </si>
  <si>
    <t>A. Total Amount Due to Guard &amp; Government</t>
  </si>
  <si>
    <r>
      <t>Administrative Overhead and Margin</t>
    </r>
    <r>
      <rPr>
        <i/>
        <sz val="11"/>
        <rFont val="Calibri"/>
        <family val="2"/>
        <scheme val="minor"/>
      </rPr>
      <t xml:space="preserve"> (Min. 20%, Max 24%</t>
    </r>
    <r>
      <rPr>
        <sz val="11"/>
        <rFont val="Calibri"/>
        <family val="2"/>
        <scheme val="minor"/>
      </rPr>
      <t>)</t>
    </r>
  </si>
  <si>
    <r>
      <t xml:space="preserve">C. VALUE ADDED TAX </t>
    </r>
    <r>
      <rPr>
        <i/>
        <sz val="11"/>
        <rFont val="Calibri (Body)"/>
      </rPr>
      <t>(Agency fee x 12% VAT)</t>
    </r>
  </si>
  <si>
    <t>AVERAGE RATE (1 AO/SM, Per Month)</t>
  </si>
  <si>
    <t>TOTAL COST FOR ONE (1) YEAR- AO (SM) for Luzon-NCR</t>
  </si>
  <si>
    <t xml:space="preserve">No. of Persons Assigned </t>
  </si>
  <si>
    <t>Average Cost Per Month</t>
  </si>
  <si>
    <t>Total for 1 year - AO/SM in Luzon &amp; NCR</t>
  </si>
  <si>
    <t>Flat Monthly Rate (Take Home Pay: Minimum amount)</t>
  </si>
  <si>
    <t>(Input amount in words)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</si>
</sst>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 (Body)"/>
    </font>
    <font>
      <sz val="11"/>
      <color rgb="FFFF000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1" applyNumberFormat="1" applyFont="1" applyAlignment="1">
      <alignment horizontal="center"/>
    </xf>
    <xf numFmtId="164" fontId="6" fillId="0" borderId="0" xfId="1" applyFont="1"/>
    <xf numFmtId="0" fontId="7" fillId="0" borderId="0" xfId="0" applyFont="1"/>
    <xf numFmtId="164" fontId="6" fillId="0" borderId="0" xfId="0" applyNumberFormat="1" applyFont="1"/>
    <xf numFmtId="0" fontId="9" fillId="0" borderId="0" xfId="0" applyFont="1"/>
    <xf numFmtId="0" fontId="8" fillId="0" borderId="0" xfId="0" applyFont="1"/>
    <xf numFmtId="164" fontId="7" fillId="0" borderId="0" xfId="1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164" fontId="11" fillId="0" borderId="0" xfId="1" applyFont="1" applyFill="1" applyProtection="1"/>
    <xf numFmtId="164" fontId="12" fillId="0" borderId="0" xfId="1" applyFont="1" applyFill="1" applyProtection="1"/>
    <xf numFmtId="164" fontId="12" fillId="0" borderId="0" xfId="1" applyFont="1" applyFill="1" applyAlignment="1" applyProtection="1">
      <alignment horizontal="center"/>
    </xf>
    <xf numFmtId="164" fontId="12" fillId="0" borderId="1" xfId="1" applyFont="1" applyFill="1" applyBorder="1" applyProtection="1"/>
    <xf numFmtId="164" fontId="12" fillId="0" borderId="1" xfId="1" applyFont="1" applyFill="1" applyBorder="1" applyAlignment="1" applyProtection="1">
      <alignment horizontal="center"/>
    </xf>
    <xf numFmtId="0" fontId="12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164" fontId="16" fillId="0" borderId="0" xfId="1" applyFont="1"/>
    <xf numFmtId="164" fontId="16" fillId="0" borderId="0" xfId="1" applyFont="1" applyAlignment="1">
      <alignment vertical="center"/>
    </xf>
    <xf numFmtId="43" fontId="6" fillId="0" borderId="0" xfId="0" applyNumberFormat="1" applyFont="1"/>
    <xf numFmtId="164" fontId="17" fillId="0" borderId="4" xfId="1" applyFont="1" applyBorder="1" applyAlignment="1">
      <alignment horizontal="center"/>
    </xf>
    <xf numFmtId="9" fontId="2" fillId="0" borderId="5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2" applyFont="1" applyProtection="1"/>
    <xf numFmtId="164" fontId="3" fillId="0" borderId="0" xfId="2" applyFont="1" applyAlignment="1" applyProtection="1">
      <alignment horizontal="center"/>
    </xf>
    <xf numFmtId="164" fontId="3" fillId="0" borderId="0" xfId="0" applyNumberFormat="1" applyFont="1"/>
    <xf numFmtId="2" fontId="3" fillId="0" borderId="0" xfId="0" applyNumberFormat="1" applyFont="1"/>
    <xf numFmtId="164" fontId="3" fillId="0" borderId="1" xfId="2" applyFont="1" applyBorder="1" applyProtection="1"/>
    <xf numFmtId="164" fontId="3" fillId="0" borderId="0" xfId="2" applyFont="1" applyBorder="1" applyAlignment="1" applyProtection="1">
      <alignment horizontal="center"/>
    </xf>
    <xf numFmtId="43" fontId="3" fillId="0" borderId="1" xfId="3" applyFont="1" applyBorder="1" applyProtection="1"/>
    <xf numFmtId="164" fontId="3" fillId="0" borderId="0" xfId="0" applyNumberFormat="1" applyFont="1" applyAlignment="1">
      <alignment horizontal="center"/>
    </xf>
    <xf numFmtId="164" fontId="5" fillId="0" borderId="0" xfId="2" applyFont="1" applyProtection="1"/>
    <xf numFmtId="164" fontId="5" fillId="0" borderId="1" xfId="2" applyFont="1" applyBorder="1" applyProtection="1"/>
    <xf numFmtId="164" fontId="5" fillId="0" borderId="0" xfId="0" applyNumberFormat="1" applyFont="1"/>
    <xf numFmtId="43" fontId="2" fillId="0" borderId="0" xfId="0" applyNumberFormat="1" applyFont="1"/>
    <xf numFmtId="164" fontId="2" fillId="0" borderId="0" xfId="2" applyFont="1" applyProtection="1"/>
    <xf numFmtId="164" fontId="2" fillId="0" borderId="0" xfId="2" applyFont="1" applyAlignment="1" applyProtection="1">
      <alignment horizontal="center"/>
    </xf>
    <xf numFmtId="164" fontId="2" fillId="0" borderId="2" xfId="2" applyFont="1" applyBorder="1" applyProtection="1"/>
    <xf numFmtId="43" fontId="2" fillId="0" borderId="2" xfId="0" applyNumberFormat="1" applyFont="1" applyBorder="1"/>
    <xf numFmtId="43" fontId="3" fillId="0" borderId="0" xfId="3" applyFont="1" applyProtection="1"/>
    <xf numFmtId="164" fontId="3" fillId="0" borderId="3" xfId="0" applyNumberFormat="1" applyFont="1" applyBorder="1"/>
    <xf numFmtId="0" fontId="3" fillId="0" borderId="1" xfId="0" applyFont="1" applyBorder="1"/>
    <xf numFmtId="164" fontId="2" fillId="0" borderId="4" xfId="0" applyNumberFormat="1" applyFont="1" applyBorder="1"/>
    <xf numFmtId="164" fontId="3" fillId="0" borderId="2" xfId="2" applyFont="1" applyBorder="1" applyProtection="1"/>
    <xf numFmtId="164" fontId="3" fillId="0" borderId="2" xfId="2" applyFont="1" applyBorder="1" applyAlignment="1" applyProtection="1">
      <alignment horizontal="center"/>
    </xf>
    <xf numFmtId="164" fontId="3" fillId="0" borderId="2" xfId="0" applyNumberFormat="1" applyFont="1" applyBorder="1"/>
    <xf numFmtId="0" fontId="3" fillId="0" borderId="0" xfId="1" applyNumberFormat="1" applyFont="1" applyAlignment="1" applyProtection="1">
      <alignment horizontal="center"/>
    </xf>
    <xf numFmtId="164" fontId="3" fillId="0" borderId="0" xfId="1" applyFont="1" applyAlignment="1" applyProtection="1">
      <alignment horizontal="left"/>
    </xf>
    <xf numFmtId="164" fontId="2" fillId="0" borderId="2" xfId="0" applyNumberFormat="1" applyFont="1" applyBorder="1"/>
    <xf numFmtId="9" fontId="2" fillId="0" borderId="5" xfId="0" applyNumberFormat="1" applyFont="1" applyBorder="1" applyAlignment="1" applyProtection="1">
      <alignment horizontal="center" wrapText="1"/>
      <protection locked="0"/>
    </xf>
    <xf numFmtId="9" fontId="11" fillId="0" borderId="5" xfId="0" applyNumberFormat="1" applyFont="1" applyBorder="1" applyAlignment="1" applyProtection="1">
      <alignment horizontal="center"/>
      <protection locked="0"/>
    </xf>
    <xf numFmtId="164" fontId="12" fillId="0" borderId="1" xfId="0" applyNumberFormat="1" applyFont="1" applyBorder="1"/>
    <xf numFmtId="164" fontId="12" fillId="0" borderId="0" xfId="0" applyNumberFormat="1" applyFont="1"/>
    <xf numFmtId="0" fontId="14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Alignment="1">
      <alignment wrapText="1"/>
    </xf>
    <xf numFmtId="43" fontId="12" fillId="0" borderId="0" xfId="0" applyNumberFormat="1" applyFont="1" applyAlignment="1">
      <alignment vertical="center"/>
    </xf>
    <xf numFmtId="43" fontId="11" fillId="0" borderId="4" xfId="0" applyNumberFormat="1" applyFont="1" applyBorder="1"/>
    <xf numFmtId="164" fontId="11" fillId="0" borderId="0" xfId="0" applyNumberFormat="1" applyFont="1"/>
    <xf numFmtId="164" fontId="13" fillId="0" borderId="1" xfId="0" applyNumberFormat="1" applyFont="1" applyBorder="1"/>
    <xf numFmtId="43" fontId="12" fillId="0" borderId="0" xfId="0" applyNumberFormat="1" applyFont="1"/>
    <xf numFmtId="43" fontId="13" fillId="0" borderId="0" xfId="0" applyNumberFormat="1" applyFont="1"/>
    <xf numFmtId="43" fontId="11" fillId="0" borderId="0" xfId="0" applyNumberFormat="1" applyFont="1"/>
    <xf numFmtId="43" fontId="13" fillId="0" borderId="1" xfId="0" applyNumberFormat="1" applyFont="1" applyBorder="1"/>
    <xf numFmtId="164" fontId="11" fillId="0" borderId="2" xfId="0" applyNumberFormat="1" applyFont="1" applyBorder="1"/>
    <xf numFmtId="0" fontId="10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43" fontId="0" fillId="0" borderId="2" xfId="0" applyNumberFormat="1" applyBorder="1"/>
    <xf numFmtId="164" fontId="11" fillId="0" borderId="0" xfId="1" applyFont="1" applyProtection="1"/>
    <xf numFmtId="0" fontId="12" fillId="0" borderId="0" xfId="0" applyFont="1" applyAlignment="1">
      <alignment horizontal="center"/>
    </xf>
    <xf numFmtId="9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164" fontId="12" fillId="0" borderId="0" xfId="1" applyFont="1" applyFill="1" applyBorder="1" applyProtection="1"/>
    <xf numFmtId="0" fontId="6" fillId="0" borderId="0" xfId="0" applyFont="1" applyAlignment="1">
      <alignment horizontal="left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164" fontId="3" fillId="0" borderId="0" xfId="0" applyNumberFormat="1" applyFont="1" applyProtection="1"/>
    <xf numFmtId="2" fontId="3" fillId="0" borderId="0" xfId="0" applyNumberFormat="1" applyFont="1" applyProtection="1"/>
    <xf numFmtId="164" fontId="3" fillId="0" borderId="0" xfId="0" applyNumberFormat="1" applyFont="1" applyAlignment="1" applyProtection="1">
      <alignment horizontal="center"/>
    </xf>
    <xf numFmtId="164" fontId="5" fillId="0" borderId="0" xfId="0" applyNumberFormat="1" applyFont="1" applyProtection="1"/>
    <xf numFmtId="43" fontId="2" fillId="0" borderId="0" xfId="0" applyNumberFormat="1" applyFont="1" applyProtection="1"/>
    <xf numFmtId="0" fontId="3" fillId="0" borderId="0" xfId="0" applyFont="1" applyAlignment="1" applyProtection="1">
      <alignment horizontal="left" wrapText="1"/>
    </xf>
    <xf numFmtId="43" fontId="2" fillId="0" borderId="2" xfId="0" applyNumberFormat="1" applyFont="1" applyBorder="1" applyProtection="1"/>
    <xf numFmtId="164" fontId="3" fillId="0" borderId="3" xfId="0" applyNumberFormat="1" applyFont="1" applyBorder="1" applyProtection="1"/>
    <xf numFmtId="0" fontId="3" fillId="0" borderId="1" xfId="0" applyFont="1" applyBorder="1" applyProtection="1"/>
    <xf numFmtId="164" fontId="2" fillId="0" borderId="4" xfId="0" applyNumberFormat="1" applyFont="1" applyBorder="1" applyProtection="1"/>
    <xf numFmtId="164" fontId="3" fillId="0" borderId="2" xfId="0" applyNumberFormat="1" applyFont="1" applyBorder="1" applyProtection="1"/>
    <xf numFmtId="164" fontId="2" fillId="0" borderId="2" xfId="0" applyNumberFormat="1" applyFont="1" applyBorder="1" applyProtection="1"/>
  </cellXfs>
  <cellStyles count="4">
    <cellStyle name="Comma" xfId="1" builtinId="3"/>
    <cellStyle name="Comma 2" xfId="2" xr:uid="{989A1B9A-EFFD-4F4E-8DFB-A6490F43ECAD}"/>
    <cellStyle name="Comma 3" xfId="3" xr:uid="{2BA04C63-68E6-42D5-9DB1-5053FD563B9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BB6B-71E8-4CE9-9970-50C15085FC17}">
  <dimension ref="A1:M42"/>
  <sheetViews>
    <sheetView topLeftCell="A9" zoomScale="145" zoomScaleNormal="145" workbookViewId="0">
      <selection activeCell="D30" sqref="D30:G30"/>
    </sheetView>
  </sheetViews>
  <sheetFormatPr defaultColWidth="9.140625" defaultRowHeight="15"/>
  <cols>
    <col min="1" max="4" width="9.140625" style="3"/>
    <col min="5" max="5" width="14.140625" style="3" customWidth="1"/>
    <col min="6" max="6" width="15.7109375" style="3" customWidth="1"/>
    <col min="7" max="7" width="12" style="3" bestFit="1" customWidth="1"/>
    <col min="8" max="8" width="15" style="3" customWidth="1"/>
    <col min="9" max="10" width="15.28515625" style="3" bestFit="1" customWidth="1"/>
    <col min="11" max="11" width="9.140625" style="3"/>
    <col min="12" max="12" width="13.7109375" style="32" bestFit="1" customWidth="1"/>
    <col min="13" max="13" width="10.140625" style="3" bestFit="1" customWidth="1"/>
    <col min="14" max="16384" width="9.140625" style="3"/>
  </cols>
  <sheetData>
    <row r="1" spans="1:13">
      <c r="A1" s="3" t="s">
        <v>0</v>
      </c>
    </row>
    <row r="2" spans="1:13">
      <c r="A2" s="3" t="s">
        <v>1</v>
      </c>
    </row>
    <row r="3" spans="1:13">
      <c r="A3" s="3" t="s">
        <v>2</v>
      </c>
    </row>
    <row r="5" spans="1:13" s="18" customFormat="1" ht="28.5">
      <c r="H5" s="19" t="s">
        <v>3</v>
      </c>
      <c r="I5" s="20" t="s">
        <v>4</v>
      </c>
      <c r="L5" s="33"/>
    </row>
    <row r="6" spans="1:13">
      <c r="A6" s="3" t="s">
        <v>5</v>
      </c>
      <c r="J6" s="4"/>
    </row>
    <row r="7" spans="1:13">
      <c r="A7" s="90" t="s">
        <v>6</v>
      </c>
      <c r="B7" s="90"/>
      <c r="C7" s="90"/>
      <c r="D7" s="90"/>
      <c r="E7" s="90"/>
      <c r="H7" s="6">
        <f>+PMO!H63+PMO!I63+PMO!J63</f>
        <v>10</v>
      </c>
      <c r="I7" s="7">
        <f>+PMO!H67+PMO!I67+PMO!J67</f>
        <v>3698649.4000000004</v>
      </c>
      <c r="J7" s="15"/>
    </row>
    <row r="8" spans="1:13">
      <c r="A8" s="90" t="s">
        <v>7</v>
      </c>
      <c r="B8" s="90"/>
      <c r="C8" s="90"/>
      <c r="D8" s="90"/>
      <c r="E8" s="90"/>
      <c r="H8" s="6">
        <f>+Warehouse!H63+Warehouse!I63</f>
        <v>2</v>
      </c>
      <c r="I8" s="7">
        <f>+Warehouse!H67+Warehouse!I67+Warehouse!J67</f>
        <v>739729.88000000012</v>
      </c>
      <c r="J8" s="15"/>
    </row>
    <row r="9" spans="1:13">
      <c r="A9" s="8"/>
      <c r="B9" s="8"/>
      <c r="C9" s="8"/>
      <c r="D9" s="8"/>
      <c r="E9" s="8"/>
      <c r="G9" s="9"/>
      <c r="H9" s="10"/>
      <c r="I9" s="7"/>
    </row>
    <row r="10" spans="1:13">
      <c r="A10" s="90" t="s">
        <v>8</v>
      </c>
      <c r="B10" s="90"/>
      <c r="C10" s="90"/>
      <c r="D10" s="8"/>
      <c r="E10" s="8"/>
      <c r="G10" s="9"/>
      <c r="H10" s="10"/>
      <c r="I10" s="7"/>
    </row>
    <row r="11" spans="1:13">
      <c r="A11" s="3" t="s">
        <v>9</v>
      </c>
      <c r="H11" s="6">
        <f>+Norzagaray!E61+Norzagaray!F61+Norzagaray!J61</f>
        <v>4</v>
      </c>
      <c r="I11" s="12">
        <f>+Norzagaray!E65+Norzagaray!F65+Norzagaray!J65</f>
        <v>766123.26039999991</v>
      </c>
      <c r="J11" s="12"/>
    </row>
    <row r="12" spans="1:13">
      <c r="A12" s="3" t="s">
        <v>10</v>
      </c>
      <c r="H12" s="6">
        <f>+Hermosa!E62+Hermosa!F62+Hermosa!G62</f>
        <v>5</v>
      </c>
      <c r="I12" s="12">
        <f>+Hermosa!E66+Hermosa!F66++Hermosa!G66</f>
        <v>955254.40949999983</v>
      </c>
      <c r="J12" s="12"/>
    </row>
    <row r="13" spans="1:13">
      <c r="A13" s="3" t="s">
        <v>11</v>
      </c>
      <c r="H13" s="29">
        <f>+Mariveles!H63+Mariveles!I63</f>
        <v>5</v>
      </c>
      <c r="I13" s="12">
        <f>+Mariveles!H67+Mariveles!I67</f>
        <v>1452822.0999999999</v>
      </c>
      <c r="J13" s="12"/>
      <c r="M13" s="34"/>
    </row>
    <row r="14" spans="1:13">
      <c r="I14" s="12"/>
      <c r="J14" s="12"/>
    </row>
    <row r="15" spans="1:13">
      <c r="A15" s="90" t="s">
        <v>12</v>
      </c>
      <c r="B15" s="90"/>
      <c r="C15" s="90"/>
      <c r="I15" s="12"/>
      <c r="J15" s="12"/>
    </row>
    <row r="16" spans="1:13" ht="13.9" customHeight="1">
      <c r="A16" s="90" t="s">
        <v>13</v>
      </c>
      <c r="B16" s="90"/>
      <c r="C16" s="90"/>
      <c r="H16" s="6">
        <f>+Angono!E62+Angono!F62+Angono!J62</f>
        <v>4</v>
      </c>
      <c r="I16" s="12">
        <f>+Angono!E66+Angono!F66+Angono!J66</f>
        <v>715549.93</v>
      </c>
      <c r="J16" s="12"/>
    </row>
    <row r="17" spans="1:10" ht="13.9" customHeight="1">
      <c r="A17" s="90" t="s">
        <v>14</v>
      </c>
      <c r="B17" s="90"/>
      <c r="C17" s="90"/>
      <c r="H17" s="6">
        <f>+Rosario!E62+Rosario!F62+Rosario!J62</f>
        <v>4</v>
      </c>
      <c r="I17" s="12">
        <f>+Rosario!E66+Rosario!F66+Rosario!J66</f>
        <v>715549.93</v>
      </c>
      <c r="J17" s="12"/>
    </row>
    <row r="18" spans="1:10">
      <c r="A18" s="5"/>
      <c r="B18" s="5"/>
      <c r="C18" s="5"/>
      <c r="I18" s="12"/>
      <c r="J18" s="12"/>
    </row>
    <row r="19" spans="1:10">
      <c r="A19" s="90" t="s">
        <v>15</v>
      </c>
      <c r="B19" s="90"/>
      <c r="C19" s="90"/>
      <c r="I19" s="12"/>
      <c r="J19" s="12"/>
    </row>
    <row r="20" spans="1:10" ht="15" customHeight="1">
      <c r="A20" s="90" t="s">
        <v>16</v>
      </c>
      <c r="B20" s="90"/>
      <c r="C20" s="90"/>
      <c r="D20" s="90"/>
      <c r="E20" s="90"/>
      <c r="H20" s="6">
        <v>1</v>
      </c>
      <c r="I20" s="12">
        <f>+AO!E33</f>
        <v>892454.88800000004</v>
      </c>
      <c r="J20" s="12"/>
    </row>
    <row r="21" spans="1:10" ht="15" customHeight="1">
      <c r="A21" s="5"/>
      <c r="B21" s="5"/>
      <c r="C21" s="5"/>
      <c r="D21" s="5"/>
      <c r="E21" s="5"/>
      <c r="J21" s="12"/>
    </row>
    <row r="22" spans="1:10" ht="15.75" thickBot="1">
      <c r="A22" s="90" t="s">
        <v>17</v>
      </c>
      <c r="B22" s="90"/>
      <c r="C22" s="90"/>
      <c r="D22" s="90"/>
      <c r="E22" s="90"/>
      <c r="F22" s="90"/>
      <c r="H22" s="30">
        <f>SUM(H7:H20)</f>
        <v>35</v>
      </c>
      <c r="I22" s="35">
        <f>SUM(I7:I20)</f>
        <v>9936133.7979000006</v>
      </c>
      <c r="J22" s="12"/>
    </row>
    <row r="23" spans="1:10" ht="15.75" thickTop="1">
      <c r="A23" s="5"/>
      <c r="B23" s="5"/>
      <c r="C23" s="5"/>
      <c r="H23" s="6"/>
      <c r="I23" s="12"/>
      <c r="J23" s="12"/>
    </row>
    <row r="24" spans="1:10">
      <c r="A24" s="5"/>
      <c r="B24" s="5"/>
      <c r="C24" s="5"/>
      <c r="H24" s="6"/>
      <c r="I24" s="12"/>
      <c r="J24" s="12"/>
    </row>
    <row r="25" spans="1:10">
      <c r="A25" s="3" t="s">
        <v>18</v>
      </c>
      <c r="I25" s="12"/>
      <c r="J25" s="12"/>
    </row>
    <row r="26" spans="1:10">
      <c r="A26" s="93" t="s">
        <v>124</v>
      </c>
      <c r="B26" s="94"/>
      <c r="C26" s="94"/>
      <c r="D26" s="94"/>
      <c r="E26" s="94"/>
      <c r="F26" s="94"/>
      <c r="G26" s="94"/>
      <c r="H26" s="94"/>
      <c r="I26" s="95"/>
      <c r="J26" s="12"/>
    </row>
    <row r="27" spans="1:10">
      <c r="A27" s="96"/>
      <c r="B27" s="97"/>
      <c r="C27" s="97"/>
      <c r="D27" s="97"/>
      <c r="E27" s="97"/>
      <c r="F27" s="97"/>
      <c r="G27" s="97"/>
      <c r="H27" s="97"/>
      <c r="I27" s="98"/>
      <c r="J27" s="12"/>
    </row>
    <row r="28" spans="1:10">
      <c r="A28" s="11"/>
      <c r="B28" s="11"/>
      <c r="C28" s="11"/>
    </row>
    <row r="29" spans="1:10">
      <c r="A29" s="11"/>
      <c r="B29" s="11"/>
      <c r="C29" s="11"/>
    </row>
    <row r="30" spans="1:10">
      <c r="A30" s="13"/>
      <c r="B30" s="11"/>
      <c r="C30" s="11"/>
      <c r="D30" s="91"/>
      <c r="E30" s="91"/>
      <c r="F30" s="91"/>
      <c r="G30" s="91"/>
      <c r="I30" s="12"/>
      <c r="J30" s="12"/>
    </row>
    <row r="31" spans="1:10">
      <c r="A31" s="11"/>
      <c r="B31" s="11"/>
      <c r="C31" s="11"/>
      <c r="D31" s="92" t="s">
        <v>19</v>
      </c>
      <c r="E31" s="92"/>
      <c r="F31" s="92"/>
      <c r="G31" s="92"/>
    </row>
    <row r="32" spans="1:10">
      <c r="A32" s="13"/>
      <c r="B32" s="11"/>
      <c r="C32" s="11"/>
      <c r="I32" s="12"/>
    </row>
    <row r="33" spans="1:10">
      <c r="A33" s="11"/>
      <c r="B33" s="11"/>
      <c r="C33" s="11"/>
      <c r="I33" s="12"/>
      <c r="J33" s="12"/>
    </row>
    <row r="34" spans="1:10">
      <c r="A34" s="11"/>
      <c r="B34" s="11"/>
      <c r="C34" s="11"/>
      <c r="J34" s="12"/>
    </row>
    <row r="35" spans="1:10">
      <c r="A35" s="13"/>
      <c r="B35" s="11"/>
      <c r="C35" s="11"/>
      <c r="I35" s="12"/>
      <c r="J35" s="12"/>
    </row>
    <row r="36" spans="1:10">
      <c r="A36" s="11"/>
      <c r="B36" s="11"/>
      <c r="C36" s="11"/>
      <c r="I36" s="12"/>
      <c r="J36" s="12"/>
    </row>
    <row r="37" spans="1:10">
      <c r="A37" s="13"/>
      <c r="B37" s="11"/>
      <c r="C37" s="11"/>
      <c r="I37" s="12"/>
      <c r="J37" s="12"/>
    </row>
    <row r="40" spans="1:10">
      <c r="A40" s="14"/>
    </row>
    <row r="42" spans="1:10">
      <c r="I42" s="6"/>
      <c r="J42" s="6"/>
    </row>
  </sheetData>
  <sheetProtection algorithmName="SHA-512" hashValue="y9iHDt4xQYEraEbV+fQY1DQixL/cSXgRxbm/f8678hehk66yhKVXC4bk2kBsMkeq2LeKRC0S7CwPIK9DWbhhfw==" saltValue="PyVv/XJIRTGOAPRE4nXXDw==" spinCount="100000" sheet="1" objects="1" scenarios="1"/>
  <mergeCells count="12">
    <mergeCell ref="D30:G30"/>
    <mergeCell ref="D31:G31"/>
    <mergeCell ref="A20:E20"/>
    <mergeCell ref="A22:F22"/>
    <mergeCell ref="A15:C15"/>
    <mergeCell ref="A26:I27"/>
    <mergeCell ref="A7:E7"/>
    <mergeCell ref="A8:E8"/>
    <mergeCell ref="A10:C10"/>
    <mergeCell ref="A19:C19"/>
    <mergeCell ref="A16:C16"/>
    <mergeCell ref="A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A649-59D8-434B-A0B1-F1A147C5F893}">
  <dimension ref="A1:J68"/>
  <sheetViews>
    <sheetView topLeftCell="A11" zoomScale="82" zoomScaleNormal="82" workbookViewId="0">
      <selection activeCell="H42" sqref="H42"/>
    </sheetView>
  </sheetViews>
  <sheetFormatPr defaultColWidth="9.140625" defaultRowHeight="15.75"/>
  <cols>
    <col min="1" max="1" width="4.7109375" style="1" customWidth="1"/>
    <col min="2" max="2" width="54.28515625" style="1" customWidth="1"/>
    <col min="3" max="3" width="6.7109375" style="1" customWidth="1"/>
    <col min="4" max="4" width="4.140625" style="1" hidden="1" customWidth="1"/>
    <col min="5" max="5" width="18.140625" style="1" hidden="1" customWidth="1"/>
    <col min="6" max="6" width="18" style="1" hidden="1" customWidth="1"/>
    <col min="7" max="7" width="3.42578125" style="2" customWidth="1"/>
    <col min="8" max="8" width="20.42578125" style="1" customWidth="1"/>
    <col min="9" max="10" width="21.140625" style="1" customWidth="1"/>
    <col min="11" max="16384" width="9.140625" style="1"/>
  </cols>
  <sheetData>
    <row r="1" spans="1:10">
      <c r="A1" s="103"/>
      <c r="B1" s="103"/>
      <c r="C1" s="103"/>
      <c r="D1" s="103"/>
      <c r="E1" s="103"/>
      <c r="F1" s="103"/>
      <c r="G1" s="104"/>
      <c r="H1" s="103"/>
      <c r="I1" s="103"/>
      <c r="J1" s="103"/>
    </row>
    <row r="2" spans="1:10">
      <c r="A2" s="105" t="s">
        <v>20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>
      <c r="A3" s="106" t="s">
        <v>21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>
      <c r="A4" s="106" t="s">
        <v>22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>
      <c r="A5" s="103"/>
      <c r="B5" s="103"/>
      <c r="C5" s="103"/>
      <c r="D5" s="103"/>
      <c r="E5" s="103"/>
      <c r="F5" s="103"/>
      <c r="G5" s="104"/>
      <c r="H5" s="103"/>
      <c r="I5" s="103"/>
      <c r="J5" s="103"/>
    </row>
    <row r="6" spans="1:10" ht="18" customHeight="1">
      <c r="A6" s="103"/>
      <c r="B6" s="103"/>
      <c r="C6" s="103"/>
      <c r="D6" s="103"/>
      <c r="E6" s="105" t="s">
        <v>23</v>
      </c>
      <c r="F6" s="105"/>
      <c r="G6" s="107"/>
      <c r="H6" s="105" t="s">
        <v>24</v>
      </c>
      <c r="I6" s="105"/>
      <c r="J6" s="105"/>
    </row>
    <row r="7" spans="1:10" ht="18" customHeight="1">
      <c r="A7" s="103" t="s">
        <v>25</v>
      </c>
      <c r="B7" s="103"/>
      <c r="C7" s="103"/>
      <c r="D7" s="103"/>
      <c r="E7" s="104" t="s">
        <v>26</v>
      </c>
      <c r="F7" s="104" t="s">
        <v>26</v>
      </c>
      <c r="G7" s="104"/>
      <c r="H7" s="104" t="s">
        <v>26</v>
      </c>
      <c r="I7" s="104" t="s">
        <v>26</v>
      </c>
      <c r="J7" s="104" t="s">
        <v>26</v>
      </c>
    </row>
    <row r="8" spans="1:10" ht="18" customHeight="1">
      <c r="A8" s="103" t="s">
        <v>27</v>
      </c>
      <c r="B8" s="103"/>
      <c r="C8" s="103"/>
      <c r="D8" s="103"/>
      <c r="E8" s="104">
        <v>313</v>
      </c>
      <c r="F8" s="104">
        <v>313</v>
      </c>
      <c r="G8" s="104"/>
      <c r="H8" s="104">
        <v>313</v>
      </c>
      <c r="I8" s="104">
        <v>313</v>
      </c>
      <c r="J8" s="104">
        <v>313</v>
      </c>
    </row>
    <row r="9" spans="1:10" ht="18" customHeight="1">
      <c r="A9" s="103"/>
      <c r="B9" s="103"/>
      <c r="C9" s="103"/>
      <c r="D9" s="103"/>
      <c r="E9" s="104" t="s">
        <v>28</v>
      </c>
      <c r="F9" s="104" t="s">
        <v>28</v>
      </c>
      <c r="G9" s="104"/>
      <c r="H9" s="104" t="s">
        <v>29</v>
      </c>
      <c r="I9" s="104" t="s">
        <v>29</v>
      </c>
      <c r="J9" s="104" t="s">
        <v>29</v>
      </c>
    </row>
    <row r="10" spans="1:10" ht="18" customHeight="1">
      <c r="A10" s="103"/>
      <c r="B10" s="103"/>
      <c r="C10" s="103"/>
      <c r="D10" s="103"/>
      <c r="E10" s="104" t="s">
        <v>30</v>
      </c>
      <c r="F10" s="104" t="s">
        <v>31</v>
      </c>
      <c r="G10" s="104"/>
      <c r="H10" s="104" t="s">
        <v>30</v>
      </c>
      <c r="I10" s="104" t="s">
        <v>31</v>
      </c>
      <c r="J10" s="104" t="s">
        <v>32</v>
      </c>
    </row>
    <row r="11" spans="1:10" ht="18" customHeight="1">
      <c r="A11" s="103"/>
      <c r="B11" s="103"/>
      <c r="C11" s="103"/>
      <c r="D11" s="103"/>
      <c r="E11" s="103"/>
      <c r="F11" s="103"/>
      <c r="G11" s="104"/>
      <c r="H11" s="103"/>
      <c r="I11" s="103"/>
      <c r="J11" s="103"/>
    </row>
    <row r="12" spans="1:10" ht="18" customHeight="1">
      <c r="A12" s="108" t="s">
        <v>33</v>
      </c>
      <c r="B12" s="103"/>
      <c r="C12" s="103"/>
      <c r="D12" s="103"/>
      <c r="E12" s="103"/>
      <c r="F12" s="103"/>
      <c r="G12" s="104"/>
      <c r="H12" s="103"/>
      <c r="I12" s="103"/>
      <c r="J12" s="103"/>
    </row>
    <row r="13" spans="1:10" ht="18" customHeight="1">
      <c r="A13" s="103" t="s">
        <v>34</v>
      </c>
      <c r="B13" s="103"/>
      <c r="C13" s="103"/>
      <c r="D13" s="104" t="s">
        <v>35</v>
      </c>
      <c r="E13" s="39">
        <v>570</v>
      </c>
      <c r="F13" s="39">
        <v>570</v>
      </c>
      <c r="G13" s="104" t="s">
        <v>35</v>
      </c>
      <c r="H13" s="39">
        <v>570</v>
      </c>
      <c r="I13" s="39">
        <v>570</v>
      </c>
      <c r="J13" s="39">
        <v>570</v>
      </c>
    </row>
    <row r="14" spans="1:10" ht="18" customHeight="1">
      <c r="A14" s="103"/>
      <c r="B14" s="103"/>
      <c r="C14" s="103"/>
      <c r="D14" s="103"/>
      <c r="E14" s="103"/>
      <c r="F14" s="103"/>
      <c r="G14" s="104"/>
      <c r="H14" s="103"/>
      <c r="I14" s="103"/>
      <c r="J14" s="103"/>
    </row>
    <row r="15" spans="1:10">
      <c r="A15" s="103" t="s">
        <v>36</v>
      </c>
      <c r="B15" s="103"/>
      <c r="C15" s="103"/>
      <c r="D15" s="103"/>
      <c r="E15" s="39">
        <f>ROUND((E13*E8/12),2)</f>
        <v>14867.5</v>
      </c>
      <c r="F15" s="39">
        <f>ROUND((F13*F8/12),2)</f>
        <v>14867.5</v>
      </c>
      <c r="G15" s="40"/>
      <c r="H15" s="39">
        <f>ROUND((H13*H8/12),2)</f>
        <v>14867.5</v>
      </c>
      <c r="I15" s="39">
        <f>ROUND((I13*I8/12),2)</f>
        <v>14867.5</v>
      </c>
      <c r="J15" s="39">
        <f>ROUND((J13*J8/12),2)</f>
        <v>14867.5</v>
      </c>
    </row>
    <row r="16" spans="1:10" ht="19.5" customHeight="1">
      <c r="A16" s="103" t="s">
        <v>37</v>
      </c>
      <c r="B16" s="103"/>
      <c r="C16" s="103"/>
      <c r="D16" s="103"/>
      <c r="E16" s="39">
        <v>0</v>
      </c>
      <c r="F16" s="39">
        <f>F15*10%*1/3</f>
        <v>495.58333333333331</v>
      </c>
      <c r="G16" s="40"/>
      <c r="H16" s="39">
        <v>0</v>
      </c>
      <c r="I16" s="39">
        <f>+I15*10%*1/2</f>
        <v>743.375</v>
      </c>
      <c r="J16" s="39">
        <f>+J15*10%*1/2</f>
        <v>743.375</v>
      </c>
    </row>
    <row r="17" spans="1:10" ht="18" customHeight="1">
      <c r="A17" s="103" t="s">
        <v>38</v>
      </c>
      <c r="B17" s="103"/>
      <c r="C17" s="103"/>
      <c r="D17" s="103"/>
      <c r="E17" s="39">
        <f>ROUND((E13*365/12/12),2)</f>
        <v>1444.79</v>
      </c>
      <c r="F17" s="39">
        <f>ROUND((F13*365/12/12),2)</f>
        <v>1444.79</v>
      </c>
      <c r="G17" s="40"/>
      <c r="H17" s="39">
        <f>ROUND((H13*365/12/12),2)</f>
        <v>1444.79</v>
      </c>
      <c r="I17" s="39">
        <f>ROUND((I13*365/12/12),2)</f>
        <v>1444.79</v>
      </c>
      <c r="J17" s="39">
        <f>ROUND((J13*365/12/12),2)</f>
        <v>1444.79</v>
      </c>
    </row>
    <row r="18" spans="1:10" ht="18" customHeight="1">
      <c r="A18" s="103" t="s">
        <v>39</v>
      </c>
      <c r="B18" s="103"/>
      <c r="C18" s="103"/>
      <c r="D18" s="103"/>
      <c r="E18" s="39">
        <f>+E13*(5/12)</f>
        <v>237.5</v>
      </c>
      <c r="F18" s="39">
        <f>+F13*(5/12)</f>
        <v>237.5</v>
      </c>
      <c r="G18" s="40"/>
      <c r="H18" s="109">
        <f>H13*(5/12)</f>
        <v>237.5</v>
      </c>
      <c r="I18" s="109">
        <f>I13*(5/12)</f>
        <v>237.5</v>
      </c>
      <c r="J18" s="109">
        <f>J13*(5/12)</f>
        <v>237.5</v>
      </c>
    </row>
    <row r="19" spans="1:10" ht="18" customHeight="1">
      <c r="A19" s="103" t="s">
        <v>40</v>
      </c>
      <c r="B19" s="103"/>
      <c r="C19" s="103"/>
      <c r="D19" s="103"/>
      <c r="E19" s="39">
        <v>100</v>
      </c>
      <c r="F19" s="39">
        <v>100</v>
      </c>
      <c r="G19" s="40"/>
      <c r="H19" s="110">
        <v>100</v>
      </c>
      <c r="I19" s="39">
        <v>100</v>
      </c>
      <c r="J19" s="39">
        <v>100</v>
      </c>
    </row>
    <row r="20" spans="1:10" ht="21" customHeight="1">
      <c r="A20" s="103" t="s">
        <v>41</v>
      </c>
      <c r="B20" s="103"/>
      <c r="C20" s="103"/>
      <c r="D20" s="103"/>
      <c r="E20" s="43">
        <v>0</v>
      </c>
      <c r="F20" s="43">
        <f>0*377/12</f>
        <v>0</v>
      </c>
      <c r="G20" s="44"/>
      <c r="H20" s="45">
        <f>+E52</f>
        <v>9659.3625000000011</v>
      </c>
      <c r="I20" s="45">
        <f>+I52</f>
        <v>10625.299166666666</v>
      </c>
      <c r="J20" s="45">
        <v>10625.299166666666</v>
      </c>
    </row>
    <row r="21" spans="1:10" ht="18" customHeight="1">
      <c r="A21" s="103"/>
      <c r="B21" s="103"/>
      <c r="C21" s="103"/>
      <c r="D21" s="103"/>
      <c r="E21" s="109">
        <f>SUM(E15:E20)</f>
        <v>16649.79</v>
      </c>
      <c r="F21" s="109">
        <f>SUM(F15:F20)</f>
        <v>17145.373333333333</v>
      </c>
      <c r="G21" s="111"/>
      <c r="H21" s="109">
        <f>SUM(H15:H20)</f>
        <v>26309.152500000004</v>
      </c>
      <c r="I21" s="109">
        <f>SUM(I15:I20)</f>
        <v>28018.464166666665</v>
      </c>
      <c r="J21" s="109">
        <f>SUM(J15:J20)</f>
        <v>28018.464166666665</v>
      </c>
    </row>
    <row r="22" spans="1:10" ht="18" customHeight="1">
      <c r="A22" s="103"/>
      <c r="B22" s="103"/>
      <c r="C22" s="103"/>
      <c r="D22" s="103"/>
      <c r="E22" s="109"/>
      <c r="F22" s="103"/>
      <c r="G22" s="104"/>
      <c r="H22" s="103"/>
      <c r="I22" s="103"/>
      <c r="J22" s="103"/>
    </row>
    <row r="23" spans="1:10" ht="18" customHeight="1">
      <c r="A23" s="108" t="s">
        <v>42</v>
      </c>
      <c r="B23" s="103"/>
      <c r="C23" s="103"/>
      <c r="D23" s="103"/>
      <c r="E23" s="103"/>
      <c r="F23" s="103"/>
      <c r="G23" s="104"/>
      <c r="H23" s="103"/>
      <c r="I23" s="103"/>
      <c r="J23" s="103"/>
    </row>
    <row r="24" spans="1:10" ht="18" customHeight="1">
      <c r="A24" s="103" t="s">
        <v>43</v>
      </c>
      <c r="B24" s="103"/>
      <c r="C24" s="103"/>
      <c r="D24" s="103"/>
      <c r="E24" s="47">
        <f>+E13*22.5/12</f>
        <v>1068.75</v>
      </c>
      <c r="F24" s="47">
        <f>+F13*22.5/12</f>
        <v>1068.75</v>
      </c>
      <c r="G24" s="40"/>
      <c r="H24" s="39">
        <f>+H13*22.5/12</f>
        <v>1068.75</v>
      </c>
      <c r="I24" s="39">
        <f>+I13*22.5/12</f>
        <v>1068.75</v>
      </c>
      <c r="J24" s="39">
        <f>+J13*22.5/12</f>
        <v>1068.75</v>
      </c>
    </row>
    <row r="25" spans="1:10" ht="18" customHeight="1">
      <c r="A25" s="103" t="s">
        <v>44</v>
      </c>
      <c r="B25" s="103"/>
      <c r="C25" s="103"/>
      <c r="D25" s="103"/>
      <c r="E25" s="47">
        <v>1275</v>
      </c>
      <c r="F25" s="47">
        <v>1317.5</v>
      </c>
      <c r="G25" s="40"/>
      <c r="H25" s="47">
        <v>1700</v>
      </c>
      <c r="I25" s="47">
        <v>1700</v>
      </c>
      <c r="J25" s="47">
        <v>1700</v>
      </c>
    </row>
    <row r="26" spans="1:10" ht="18" customHeight="1">
      <c r="A26" s="103" t="s">
        <v>45</v>
      </c>
      <c r="B26" s="103"/>
      <c r="C26" s="103"/>
      <c r="D26" s="103"/>
      <c r="E26" s="47">
        <v>0</v>
      </c>
      <c r="F26" s="47">
        <v>0</v>
      </c>
      <c r="G26" s="40"/>
      <c r="H26" s="47">
        <v>425</v>
      </c>
      <c r="I26" s="47">
        <f>+H26</f>
        <v>425</v>
      </c>
      <c r="J26" s="47">
        <f>+I26</f>
        <v>425</v>
      </c>
    </row>
    <row r="27" spans="1:10" ht="18" customHeight="1">
      <c r="A27" s="103" t="s">
        <v>46</v>
      </c>
      <c r="B27" s="103"/>
      <c r="C27" s="103"/>
      <c r="D27" s="103"/>
      <c r="E27" s="47">
        <f>(E15*0.045)/2</f>
        <v>334.51875000000001</v>
      </c>
      <c r="F27" s="47">
        <f>(F15*0.045)/2</f>
        <v>334.51875000000001</v>
      </c>
      <c r="G27" s="40"/>
      <c r="H27" s="39">
        <f>ROUND((H15*0.045/2),2)</f>
        <v>334.52</v>
      </c>
      <c r="I27" s="39">
        <f>ROUND((I15*0.045/2),2)</f>
        <v>334.52</v>
      </c>
      <c r="J27" s="39">
        <f>ROUND((J15*0.045/2),2)</f>
        <v>334.52</v>
      </c>
    </row>
    <row r="28" spans="1:10" ht="18" customHeight="1">
      <c r="A28" s="103" t="s">
        <v>47</v>
      </c>
      <c r="B28" s="103"/>
      <c r="C28" s="103"/>
      <c r="D28" s="103"/>
      <c r="E28" s="47">
        <v>30</v>
      </c>
      <c r="F28" s="47">
        <v>30</v>
      </c>
      <c r="G28" s="40"/>
      <c r="H28" s="39">
        <v>30</v>
      </c>
      <c r="I28" s="39">
        <v>30</v>
      </c>
      <c r="J28" s="39">
        <v>30</v>
      </c>
    </row>
    <row r="29" spans="1:10" ht="18" customHeight="1">
      <c r="A29" s="103" t="s">
        <v>48</v>
      </c>
      <c r="B29" s="103"/>
      <c r="C29" s="103"/>
      <c r="D29" s="103"/>
      <c r="E29" s="48">
        <v>100</v>
      </c>
      <c r="F29" s="48">
        <v>100</v>
      </c>
      <c r="G29" s="44"/>
      <c r="H29" s="43">
        <v>100</v>
      </c>
      <c r="I29" s="43">
        <v>100</v>
      </c>
      <c r="J29" s="43">
        <v>100</v>
      </c>
    </row>
    <row r="30" spans="1:10" ht="18" customHeight="1">
      <c r="A30" s="103"/>
      <c r="B30" s="103"/>
      <c r="C30" s="103"/>
      <c r="D30" s="103"/>
      <c r="E30" s="112">
        <f>SUM(E24:E29)</f>
        <v>2808.2687500000002</v>
      </c>
      <c r="F30" s="112">
        <f>SUM(F24:F29)</f>
        <v>2850.7687500000002</v>
      </c>
      <c r="G30" s="111"/>
      <c r="H30" s="109">
        <f>SUM(H24:H29)</f>
        <v>3658.27</v>
      </c>
      <c r="I30" s="109">
        <f>SUM(I24:I29)</f>
        <v>3658.27</v>
      </c>
      <c r="J30" s="109">
        <f>SUM(J24:J29)</f>
        <v>3658.27</v>
      </c>
    </row>
    <row r="31" spans="1:10" ht="18" customHeight="1">
      <c r="A31" s="103"/>
      <c r="B31" s="103"/>
      <c r="C31" s="103"/>
      <c r="D31" s="103"/>
      <c r="E31" s="103"/>
      <c r="F31" s="103"/>
      <c r="G31" s="104"/>
      <c r="H31" s="103"/>
      <c r="I31" s="103"/>
      <c r="J31" s="103"/>
    </row>
    <row r="32" spans="1:10" ht="18" customHeight="1">
      <c r="A32" s="103"/>
      <c r="B32" s="103"/>
      <c r="C32" s="103"/>
      <c r="D32" s="103"/>
      <c r="E32" s="108"/>
      <c r="F32" s="108"/>
      <c r="G32" s="107"/>
      <c r="H32" s="103"/>
      <c r="I32" s="103"/>
      <c r="J32" s="103"/>
    </row>
    <row r="33" spans="1:10" ht="18" customHeight="1">
      <c r="A33" s="108" t="s">
        <v>49</v>
      </c>
      <c r="B33" s="103"/>
      <c r="C33" s="103"/>
      <c r="D33" s="104" t="s">
        <v>35</v>
      </c>
      <c r="E33" s="113">
        <f>+E21+E30</f>
        <v>19458.05875</v>
      </c>
      <c r="F33" s="113">
        <f>+F21+F30</f>
        <v>19996.142083333332</v>
      </c>
      <c r="G33" s="104" t="s">
        <v>35</v>
      </c>
      <c r="H33" s="113">
        <f>+H30+H21</f>
        <v>29967.422500000004</v>
      </c>
      <c r="I33" s="113">
        <f>+I30+I21</f>
        <v>31676.734166666665</v>
      </c>
      <c r="J33" s="113">
        <f>+J30+J21</f>
        <v>31676.734166666665</v>
      </c>
    </row>
    <row r="34" spans="1:10" ht="18" customHeight="1">
      <c r="A34" s="103"/>
      <c r="B34" s="103"/>
      <c r="C34" s="103"/>
      <c r="D34" s="103"/>
      <c r="E34" s="103"/>
      <c r="F34" s="103"/>
      <c r="G34" s="104"/>
      <c r="H34" s="103"/>
      <c r="I34" s="103"/>
      <c r="J34" s="103"/>
    </row>
    <row r="35" spans="1:10" ht="18" customHeight="1">
      <c r="A35" s="108" t="s">
        <v>50</v>
      </c>
      <c r="B35" s="103"/>
      <c r="C35" s="103"/>
      <c r="D35" s="103"/>
      <c r="E35" s="103"/>
      <c r="F35" s="103"/>
      <c r="G35" s="104"/>
      <c r="H35" s="103"/>
      <c r="I35" s="103"/>
      <c r="J35" s="103"/>
    </row>
    <row r="36" spans="1:10" ht="15.75" customHeight="1">
      <c r="A36" s="114" t="s">
        <v>51</v>
      </c>
      <c r="B36" s="114"/>
      <c r="C36" s="36"/>
      <c r="D36" s="103"/>
      <c r="E36" s="51">
        <f>+E33*24%</f>
        <v>4669.9340999999995</v>
      </c>
      <c r="F36" s="51">
        <f>+F33*24%</f>
        <v>4799.0740999999998</v>
      </c>
      <c r="G36" s="52"/>
      <c r="H36" s="113">
        <f>H33*C36</f>
        <v>0</v>
      </c>
      <c r="I36" s="113">
        <f>I33*C36</f>
        <v>0</v>
      </c>
      <c r="J36" s="113">
        <f>J33*C36</f>
        <v>0</v>
      </c>
    </row>
    <row r="37" spans="1:10" ht="18" customHeight="1">
      <c r="A37" s="103"/>
      <c r="B37" s="103"/>
      <c r="C37" s="103"/>
      <c r="D37" s="103"/>
      <c r="E37" s="108"/>
      <c r="F37" s="108"/>
      <c r="G37" s="107"/>
      <c r="H37" s="108"/>
      <c r="I37" s="108"/>
      <c r="J37" s="108"/>
    </row>
    <row r="38" spans="1:10" ht="18" customHeight="1">
      <c r="A38" s="108" t="s">
        <v>52</v>
      </c>
      <c r="B38" s="103"/>
      <c r="C38" s="103"/>
      <c r="D38" s="103"/>
      <c r="E38" s="51">
        <f>+E36*0.12</f>
        <v>560.39209199999993</v>
      </c>
      <c r="F38" s="51">
        <f>+F36*0.12</f>
        <v>575.88889199999994</v>
      </c>
      <c r="G38" s="52"/>
      <c r="H38" s="51">
        <f>+H36*0.12</f>
        <v>0</v>
      </c>
      <c r="I38" s="51">
        <f>+I36*0.12</f>
        <v>0</v>
      </c>
      <c r="J38" s="51">
        <f>+J36*0.12</f>
        <v>0</v>
      </c>
    </row>
    <row r="39" spans="1:10" ht="18" customHeight="1">
      <c r="A39" s="103"/>
      <c r="B39" s="103"/>
      <c r="C39" s="103"/>
      <c r="D39" s="103"/>
      <c r="E39" s="103"/>
      <c r="F39" s="103"/>
      <c r="G39" s="104"/>
      <c r="H39" s="103"/>
      <c r="I39" s="103"/>
      <c r="J39" s="103"/>
    </row>
    <row r="40" spans="1:10" ht="18" customHeight="1" thickBot="1">
      <c r="A40" s="108" t="s">
        <v>53</v>
      </c>
      <c r="B40" s="103"/>
      <c r="C40" s="103"/>
      <c r="D40" s="104" t="s">
        <v>35</v>
      </c>
      <c r="E40" s="53">
        <f>+E33+E36+E38</f>
        <v>24688.384941999997</v>
      </c>
      <c r="F40" s="53">
        <f>+F33+F36+F38</f>
        <v>25371.105075333329</v>
      </c>
      <c r="G40" s="104" t="s">
        <v>35</v>
      </c>
      <c r="H40" s="115">
        <f>H33+H36+H38</f>
        <v>29967.422500000004</v>
      </c>
      <c r="I40" s="115">
        <f>I33+I36+I38</f>
        <v>31676.734166666665</v>
      </c>
      <c r="J40" s="115">
        <f>J33+J36+J38</f>
        <v>31676.734166666665</v>
      </c>
    </row>
    <row r="41" spans="1:10" ht="18" customHeight="1" thickTop="1">
      <c r="A41" s="103"/>
      <c r="B41" s="103"/>
      <c r="C41" s="103"/>
      <c r="D41" s="103"/>
      <c r="E41" s="103"/>
      <c r="F41" s="103"/>
      <c r="G41" s="104"/>
      <c r="H41" s="103"/>
      <c r="I41" s="103"/>
      <c r="J41" s="103"/>
    </row>
    <row r="42" spans="1:10">
      <c r="A42" s="108" t="s">
        <v>54</v>
      </c>
      <c r="B42" s="103"/>
      <c r="C42" s="103"/>
      <c r="D42" s="103"/>
      <c r="E42" s="103"/>
      <c r="F42" s="103"/>
      <c r="G42" s="104"/>
      <c r="H42" s="103"/>
      <c r="I42" s="103"/>
      <c r="J42" s="103"/>
    </row>
    <row r="43" spans="1:10">
      <c r="A43" s="103"/>
      <c r="B43" s="103"/>
      <c r="C43" s="103"/>
      <c r="D43" s="103"/>
      <c r="E43" s="39"/>
      <c r="F43" s="39"/>
      <c r="G43" s="40"/>
      <c r="H43" s="103"/>
      <c r="I43" s="103"/>
      <c r="J43" s="103"/>
    </row>
    <row r="44" spans="1:10" hidden="1">
      <c r="A44" s="103"/>
      <c r="B44" s="103" t="s">
        <v>55</v>
      </c>
      <c r="C44" s="103"/>
      <c r="D44" s="103"/>
      <c r="E44" s="109"/>
      <c r="F44" s="109"/>
      <c r="G44" s="111"/>
      <c r="H44" s="103" t="s">
        <v>56</v>
      </c>
      <c r="I44" s="103"/>
      <c r="J44" s="103"/>
    </row>
    <row r="45" spans="1:10" hidden="1">
      <c r="A45" s="103"/>
      <c r="B45" s="103"/>
      <c r="C45" s="103"/>
      <c r="D45" s="103"/>
      <c r="E45" s="103"/>
      <c r="F45" s="103"/>
      <c r="G45" s="104"/>
      <c r="H45" s="103"/>
      <c r="I45" s="103"/>
      <c r="J45" s="103"/>
    </row>
    <row r="46" spans="1:10" hidden="1">
      <c r="A46" s="103"/>
      <c r="B46" s="103" t="s">
        <v>57</v>
      </c>
      <c r="C46" s="111">
        <f>E13/8</f>
        <v>71.25</v>
      </c>
      <c r="D46" s="103"/>
      <c r="E46" s="103"/>
      <c r="F46" s="103"/>
      <c r="G46" s="104"/>
      <c r="H46" s="103" t="s">
        <v>57</v>
      </c>
      <c r="I46" s="111">
        <f>I13/8</f>
        <v>71.25</v>
      </c>
      <c r="J46" s="111">
        <f>J13/8</f>
        <v>71.25</v>
      </c>
    </row>
    <row r="47" spans="1:10" hidden="1">
      <c r="A47" s="104">
        <v>295</v>
      </c>
      <c r="B47" s="103" t="s">
        <v>58</v>
      </c>
      <c r="C47" s="103"/>
      <c r="D47" s="103"/>
      <c r="E47" s="39">
        <f>ROUND((C46*1.25*295*4),2)</f>
        <v>105093.75</v>
      </c>
      <c r="F47" s="103"/>
      <c r="G47" s="104"/>
      <c r="H47" s="103" t="s">
        <v>59</v>
      </c>
      <c r="I47" s="55">
        <f>ROUND((I46*1.375*A47*4),2)</f>
        <v>115603.13</v>
      </c>
      <c r="J47" s="55" t="e">
        <f>ROUND((J46*1.375*B47*4),2)</f>
        <v>#VALUE!</v>
      </c>
    </row>
    <row r="48" spans="1:10" hidden="1">
      <c r="A48" s="104">
        <v>12</v>
      </c>
      <c r="B48" s="103" t="s">
        <v>60</v>
      </c>
      <c r="C48" s="103"/>
      <c r="D48" s="103"/>
      <c r="E48" s="39">
        <f>ROUND((C46*2.6*12*4),2)</f>
        <v>8892</v>
      </c>
      <c r="F48" s="103"/>
      <c r="G48" s="104"/>
      <c r="H48" s="103" t="s">
        <v>61</v>
      </c>
      <c r="I48" s="55">
        <f>ROUND((I46*2.86*A48*4),2)</f>
        <v>9781.2000000000007</v>
      </c>
      <c r="J48" s="55" t="e">
        <f>ROUND((J46*2.86*B48*4),2)</f>
        <v>#VALUE!</v>
      </c>
    </row>
    <row r="49" spans="1:10" hidden="1">
      <c r="A49" s="104">
        <v>4</v>
      </c>
      <c r="B49" s="103" t="s">
        <v>62</v>
      </c>
      <c r="C49" s="103"/>
      <c r="D49" s="103"/>
      <c r="E49" s="39">
        <f>ROUND((C46*1.69*4*4),2)</f>
        <v>1926.6</v>
      </c>
      <c r="F49" s="103"/>
      <c r="G49" s="104"/>
      <c r="H49" s="103" t="s">
        <v>63</v>
      </c>
      <c r="I49" s="45">
        <f>ROUND((I46*1.859*A49*4),2)</f>
        <v>2119.2600000000002</v>
      </c>
      <c r="J49" s="45" t="e">
        <f>ROUND((J46*1.859*B49*4),2)</f>
        <v>#VALUE!</v>
      </c>
    </row>
    <row r="50" spans="1:10" hidden="1">
      <c r="A50" s="103"/>
      <c r="B50" s="103"/>
      <c r="C50" s="103"/>
      <c r="D50" s="103"/>
      <c r="E50" s="116">
        <f>SUM(E47:E49)</f>
        <v>115912.35</v>
      </c>
      <c r="F50" s="103"/>
      <c r="G50" s="104"/>
      <c r="H50" s="103"/>
      <c r="I50" s="55">
        <f>SUM(I47:I49)</f>
        <v>127503.59</v>
      </c>
      <c r="J50" s="55" t="e">
        <f>SUM(J47:J49)</f>
        <v>#VALUE!</v>
      </c>
    </row>
    <row r="51" spans="1:10" hidden="1">
      <c r="A51" s="103"/>
      <c r="B51" s="103" t="s">
        <v>64</v>
      </c>
      <c r="C51" s="103"/>
      <c r="D51" s="103"/>
      <c r="E51" s="117">
        <v>12</v>
      </c>
      <c r="F51" s="103"/>
      <c r="G51" s="104"/>
      <c r="H51" s="103" t="s">
        <v>65</v>
      </c>
      <c r="I51" s="117">
        <v>12</v>
      </c>
      <c r="J51" s="117">
        <v>12</v>
      </c>
    </row>
    <row r="52" spans="1:10" ht="16.5" hidden="1" thickBot="1">
      <c r="A52" s="103"/>
      <c r="B52" s="103" t="s">
        <v>66</v>
      </c>
      <c r="C52" s="103"/>
      <c r="D52" s="103"/>
      <c r="E52" s="53">
        <f>E50/E51</f>
        <v>9659.3625000000011</v>
      </c>
      <c r="F52" s="103"/>
      <c r="G52" s="104"/>
      <c r="H52" s="103" t="s">
        <v>67</v>
      </c>
      <c r="I52" s="118">
        <f>I50/I51</f>
        <v>10625.299166666666</v>
      </c>
      <c r="J52" s="118" t="e">
        <f>J50/J51</f>
        <v>#VALUE!</v>
      </c>
    </row>
    <row r="53" spans="1:10" hidden="1">
      <c r="A53" s="103"/>
      <c r="B53" s="103"/>
      <c r="C53" s="103"/>
      <c r="D53" s="103"/>
      <c r="E53" s="103"/>
      <c r="F53" s="103"/>
      <c r="G53" s="104"/>
      <c r="H53" s="103"/>
      <c r="I53" s="103"/>
      <c r="J53" s="103"/>
    </row>
    <row r="54" spans="1:10" hidden="1">
      <c r="A54" s="103"/>
      <c r="B54" s="108" t="s">
        <v>68</v>
      </c>
      <c r="C54" s="103"/>
      <c r="D54" s="103"/>
      <c r="E54" s="109"/>
      <c r="F54" s="103"/>
      <c r="G54" s="104"/>
      <c r="H54" s="108"/>
      <c r="I54" s="103"/>
      <c r="J54" s="103"/>
    </row>
    <row r="55" spans="1:10" ht="15" hidden="1" customHeight="1">
      <c r="A55" s="103"/>
      <c r="B55" s="103" t="s">
        <v>69</v>
      </c>
      <c r="C55" s="103"/>
      <c r="D55" s="103"/>
      <c r="E55" s="103"/>
      <c r="F55" s="103"/>
      <c r="G55" s="104"/>
      <c r="H55" s="103"/>
      <c r="I55" s="103"/>
      <c r="J55" s="103"/>
    </row>
    <row r="56" spans="1:10" hidden="1">
      <c r="A56" s="103"/>
      <c r="B56" s="103" t="s">
        <v>70</v>
      </c>
      <c r="C56" s="103"/>
      <c r="D56" s="103"/>
      <c r="E56" s="103"/>
      <c r="F56" s="103"/>
      <c r="G56" s="104"/>
      <c r="H56" s="103"/>
      <c r="I56" s="103"/>
      <c r="J56" s="103"/>
    </row>
    <row r="57" spans="1:10" hidden="1">
      <c r="A57" s="103"/>
      <c r="B57" s="103"/>
      <c r="C57" s="103"/>
      <c r="D57" s="103"/>
      <c r="E57" s="103"/>
      <c r="F57" s="103"/>
      <c r="G57" s="104"/>
      <c r="H57" s="103"/>
      <c r="I57" s="103"/>
      <c r="J57" s="103"/>
    </row>
    <row r="58" spans="1:10" hidden="1">
      <c r="A58" s="103"/>
      <c r="B58" s="103"/>
      <c r="C58" s="103"/>
      <c r="D58" s="103"/>
      <c r="E58" s="103"/>
      <c r="F58" s="103"/>
      <c r="G58" s="104"/>
      <c r="H58" s="103"/>
      <c r="I58" s="103"/>
      <c r="J58" s="103"/>
    </row>
    <row r="59" spans="1:10" ht="18" hidden="1" customHeight="1" thickBot="1">
      <c r="A59" s="103"/>
      <c r="B59" s="103" t="s">
        <v>71</v>
      </c>
      <c r="C59" s="103"/>
      <c r="D59" s="103"/>
      <c r="E59" s="59">
        <f>E21-E17</f>
        <v>15205</v>
      </c>
      <c r="F59" s="59">
        <f>F21-F17</f>
        <v>15700.583333333332</v>
      </c>
      <c r="G59" s="60"/>
      <c r="H59" s="119">
        <f>H21-H17</f>
        <v>24864.362500000003</v>
      </c>
      <c r="I59" s="119">
        <f>I21-I17</f>
        <v>26573.674166666664</v>
      </c>
      <c r="J59" s="119">
        <f>J21-J17</f>
        <v>26573.674166666664</v>
      </c>
    </row>
    <row r="60" spans="1:10" hidden="1">
      <c r="A60" s="103"/>
      <c r="B60" s="103"/>
      <c r="C60" s="103"/>
      <c r="D60" s="103"/>
      <c r="E60" s="103"/>
      <c r="F60" s="103"/>
      <c r="G60" s="104"/>
      <c r="H60" s="103"/>
      <c r="I60" s="103"/>
      <c r="J60" s="103"/>
    </row>
    <row r="61" spans="1:10" hidden="1">
      <c r="A61" s="103"/>
      <c r="B61" s="103"/>
      <c r="C61" s="103"/>
      <c r="D61" s="103"/>
      <c r="E61" s="103"/>
      <c r="F61" s="103"/>
      <c r="G61" s="104"/>
      <c r="H61" s="103"/>
      <c r="I61" s="103"/>
      <c r="J61" s="103"/>
    </row>
    <row r="62" spans="1:10" hidden="1">
      <c r="A62" s="103"/>
      <c r="B62" s="103"/>
      <c r="C62" s="103"/>
      <c r="D62" s="103"/>
      <c r="E62" s="103"/>
      <c r="F62" s="103"/>
      <c r="G62" s="104"/>
      <c r="H62" s="103"/>
      <c r="I62" s="103"/>
      <c r="J62" s="103"/>
    </row>
    <row r="63" spans="1:10">
      <c r="A63" s="103" t="s">
        <v>72</v>
      </c>
      <c r="B63" s="103"/>
      <c r="C63" s="103"/>
      <c r="D63" s="103"/>
      <c r="E63" s="103"/>
      <c r="F63" s="103"/>
      <c r="G63" s="104"/>
      <c r="H63" s="62">
        <v>5</v>
      </c>
      <c r="I63" s="62">
        <v>3</v>
      </c>
      <c r="J63" s="62">
        <v>2</v>
      </c>
    </row>
    <row r="64" spans="1:10">
      <c r="A64" s="103"/>
      <c r="B64" s="103"/>
      <c r="C64" s="103"/>
      <c r="D64" s="103"/>
      <c r="E64" s="103"/>
      <c r="F64" s="103"/>
      <c r="G64" s="104"/>
      <c r="H64" s="63"/>
      <c r="I64" s="63"/>
      <c r="J64" s="63"/>
    </row>
    <row r="65" spans="1:10">
      <c r="A65" s="103" t="s">
        <v>73</v>
      </c>
      <c r="B65" s="103"/>
      <c r="C65" s="103"/>
      <c r="D65" s="103"/>
      <c r="E65" s="103"/>
      <c r="F65" s="103"/>
      <c r="G65" s="104"/>
      <c r="H65" s="63">
        <f>H63*H40</f>
        <v>149837.11250000002</v>
      </c>
      <c r="I65" s="63">
        <f>I63*I40</f>
        <v>95030.202499999999</v>
      </c>
      <c r="J65" s="63">
        <f>J63*J40</f>
        <v>63353.468333333331</v>
      </c>
    </row>
    <row r="66" spans="1:10">
      <c r="A66" s="103"/>
      <c r="B66" s="103"/>
      <c r="C66" s="103"/>
      <c r="D66" s="103"/>
      <c r="E66" s="103"/>
      <c r="F66" s="103"/>
      <c r="G66" s="104"/>
      <c r="H66" s="103"/>
      <c r="I66" s="103"/>
      <c r="J66" s="103"/>
    </row>
    <row r="67" spans="1:10" ht="16.5" thickBot="1">
      <c r="A67" s="103" t="s">
        <v>74</v>
      </c>
      <c r="B67" s="103"/>
      <c r="C67" s="103"/>
      <c r="D67" s="103"/>
      <c r="E67" s="103"/>
      <c r="F67" s="103"/>
      <c r="G67" s="104"/>
      <c r="H67" s="120">
        <f>H65*12</f>
        <v>1798045.35</v>
      </c>
      <c r="I67" s="120">
        <f>I65*12</f>
        <v>1140362.43</v>
      </c>
      <c r="J67" s="120">
        <f>J65*12</f>
        <v>760241.62</v>
      </c>
    </row>
    <row r="68" spans="1:10" ht="16.5" thickTop="1"/>
  </sheetData>
  <sheetProtection algorithmName="SHA-512" hashValue="yfIqO8LCbLiRSlAZRBixk5/fTqDoAGNBBIcCHERl5DqV9lC16lC1BaoaBhLG1FOJ0YZwCD7oq50Av8OEO7qdog==" saltValue="xqgMVQNx08heDqiN92KCEQ==" spinCount="100000" sheet="1" objects="1" scenarios="1"/>
  <protectedRanges>
    <protectedRange algorithmName="SHA-512" hashValue="CPHxG6/S/sy+lfSI7c1wVpizzoW1XNTjzNdmjHgDL4A+5sBsatrPy1Q6bcq40SW6aQY3KDdV5GyVoKw+nz01pA==" saltValue="f9VoFrwi/2FR9E4a3r3BuQ==" spinCount="100000" sqref="A2:J67" name="Range1"/>
  </protectedRanges>
  <mergeCells count="6">
    <mergeCell ref="A36:B36"/>
    <mergeCell ref="E6:F6"/>
    <mergeCell ref="H6:J6"/>
    <mergeCell ref="A2:J2"/>
    <mergeCell ref="A3:J3"/>
    <mergeCell ref="A4:J4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FFC8-B709-48FD-9A4F-C0AF1379635D}">
  <dimension ref="A2:J68"/>
  <sheetViews>
    <sheetView topLeftCell="A12" zoomScale="82" zoomScaleNormal="82" workbookViewId="0">
      <selection activeCell="C36" sqref="C36"/>
    </sheetView>
  </sheetViews>
  <sheetFormatPr defaultColWidth="9.140625" defaultRowHeight="15.75"/>
  <cols>
    <col min="1" max="1" width="4.7109375" style="1" customWidth="1"/>
    <col min="2" max="2" width="52.85546875" style="1" customWidth="1"/>
    <col min="3" max="3" width="6.85546875" style="1" customWidth="1"/>
    <col min="4" max="4" width="4.140625" style="1" customWidth="1"/>
    <col min="5" max="5" width="18.140625" style="1" hidden="1" customWidth="1"/>
    <col min="6" max="6" width="18" style="1" hidden="1" customWidth="1"/>
    <col min="7" max="7" width="3.42578125" style="2" hidden="1" customWidth="1"/>
    <col min="8" max="8" width="20.42578125" style="1" customWidth="1"/>
    <col min="9" max="10" width="21.140625" style="1" customWidth="1"/>
    <col min="11" max="16384" width="9.140625" style="1"/>
  </cols>
  <sheetData>
    <row r="2" spans="1:10">
      <c r="A2" s="100" t="s">
        <v>20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>
      <c r="A3" s="101" t="s">
        <v>21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>
      <c r="A4" s="101" t="s">
        <v>22</v>
      </c>
      <c r="B4" s="101"/>
      <c r="C4" s="101"/>
      <c r="D4" s="101"/>
      <c r="E4" s="101"/>
      <c r="F4" s="101"/>
      <c r="G4" s="101"/>
      <c r="H4" s="101"/>
      <c r="I4" s="101"/>
      <c r="J4" s="101"/>
    </row>
    <row r="6" spans="1:10" ht="18" customHeight="1">
      <c r="E6" s="100" t="s">
        <v>23</v>
      </c>
      <c r="F6" s="100"/>
      <c r="G6" s="37"/>
      <c r="H6" s="100" t="s">
        <v>24</v>
      </c>
      <c r="I6" s="100"/>
    </row>
    <row r="7" spans="1:10" ht="18" customHeight="1">
      <c r="A7" s="1" t="s">
        <v>25</v>
      </c>
      <c r="E7" s="2" t="s">
        <v>26</v>
      </c>
      <c r="F7" s="2" t="s">
        <v>26</v>
      </c>
      <c r="H7" s="2" t="s">
        <v>26</v>
      </c>
      <c r="I7" s="2" t="s">
        <v>26</v>
      </c>
      <c r="J7" s="2" t="s">
        <v>26</v>
      </c>
    </row>
    <row r="8" spans="1:10" ht="18" customHeight="1">
      <c r="A8" s="1" t="s">
        <v>27</v>
      </c>
      <c r="E8" s="2">
        <v>313</v>
      </c>
      <c r="F8" s="2">
        <v>313</v>
      </c>
      <c r="H8" s="2">
        <v>313</v>
      </c>
      <c r="I8" s="2">
        <v>313</v>
      </c>
      <c r="J8" s="2">
        <v>313</v>
      </c>
    </row>
    <row r="9" spans="1:10" ht="18" customHeight="1">
      <c r="E9" s="2" t="s">
        <v>28</v>
      </c>
      <c r="F9" s="2" t="s">
        <v>28</v>
      </c>
      <c r="H9" s="2" t="s">
        <v>29</v>
      </c>
      <c r="I9" s="2" t="s">
        <v>29</v>
      </c>
      <c r="J9" s="2" t="s">
        <v>29</v>
      </c>
    </row>
    <row r="10" spans="1:10" ht="18" customHeight="1">
      <c r="E10" s="2" t="s">
        <v>30</v>
      </c>
      <c r="F10" s="2" t="s">
        <v>31</v>
      </c>
      <c r="H10" s="2" t="s">
        <v>30</v>
      </c>
      <c r="I10" s="2" t="s">
        <v>31</v>
      </c>
      <c r="J10" s="2" t="s">
        <v>32</v>
      </c>
    </row>
    <row r="11" spans="1:10" ht="18" customHeight="1"/>
    <row r="12" spans="1:10" ht="18" customHeight="1">
      <c r="A12" s="38" t="s">
        <v>33</v>
      </c>
    </row>
    <row r="13" spans="1:10" ht="18" customHeight="1">
      <c r="A13" s="1" t="s">
        <v>34</v>
      </c>
      <c r="D13" s="2" t="s">
        <v>35</v>
      </c>
      <c r="E13" s="39">
        <v>570</v>
      </c>
      <c r="F13" s="39">
        <v>570</v>
      </c>
      <c r="G13" s="2" t="s">
        <v>35</v>
      </c>
      <c r="H13" s="39">
        <v>570</v>
      </c>
      <c r="I13" s="39">
        <v>570</v>
      </c>
      <c r="J13" s="39">
        <v>570</v>
      </c>
    </row>
    <row r="14" spans="1:10" ht="18" customHeight="1"/>
    <row r="15" spans="1:10">
      <c r="A15" s="1" t="s">
        <v>36</v>
      </c>
      <c r="E15" s="39">
        <f>ROUND((E13*E8/12),2)</f>
        <v>14867.5</v>
      </c>
      <c r="F15" s="39">
        <f>ROUND((F13*F8/12),2)</f>
        <v>14867.5</v>
      </c>
      <c r="G15" s="40"/>
      <c r="H15" s="39">
        <f>ROUND((H13*H8/12),2)</f>
        <v>14867.5</v>
      </c>
      <c r="I15" s="39">
        <f>ROUND((I13*I8/12),2)</f>
        <v>14867.5</v>
      </c>
      <c r="J15" s="39">
        <f>ROUND((J13*J8/12),2)</f>
        <v>14867.5</v>
      </c>
    </row>
    <row r="16" spans="1:10" ht="19.5" customHeight="1">
      <c r="A16" s="1" t="s">
        <v>37</v>
      </c>
      <c r="E16" s="39">
        <v>0</v>
      </c>
      <c r="F16" s="39">
        <f>F15*10%*1/3</f>
        <v>495.58333333333331</v>
      </c>
      <c r="G16" s="40"/>
      <c r="H16" s="39">
        <v>0</v>
      </c>
      <c r="I16" s="39">
        <f>+I15*10%*1/2</f>
        <v>743.375</v>
      </c>
      <c r="J16" s="39">
        <f>+J15*10%*1/2</f>
        <v>743.375</v>
      </c>
    </row>
    <row r="17" spans="1:10" ht="18" customHeight="1">
      <c r="A17" s="1" t="s">
        <v>38</v>
      </c>
      <c r="E17" s="39">
        <f>ROUND((E13*365/12/12),2)</f>
        <v>1444.79</v>
      </c>
      <c r="F17" s="39">
        <f>ROUND((F13*365/12/12),2)</f>
        <v>1444.79</v>
      </c>
      <c r="G17" s="40"/>
      <c r="H17" s="39">
        <f>ROUND((H13*365/12/12),2)</f>
        <v>1444.79</v>
      </c>
      <c r="I17" s="39">
        <f>ROUND((I13*365/12/12),2)</f>
        <v>1444.79</v>
      </c>
      <c r="J17" s="39">
        <f>ROUND((J13*365/12/12),2)</f>
        <v>1444.79</v>
      </c>
    </row>
    <row r="18" spans="1:10" ht="18" customHeight="1">
      <c r="A18" s="1" t="s">
        <v>39</v>
      </c>
      <c r="E18" s="39">
        <f>+E13*(5/12)</f>
        <v>237.5</v>
      </c>
      <c r="F18" s="39">
        <f>+F13*(5/12)</f>
        <v>237.5</v>
      </c>
      <c r="G18" s="40"/>
      <c r="H18" s="41">
        <f>H13*(5/12)</f>
        <v>237.5</v>
      </c>
      <c r="I18" s="41">
        <f>I13*(5/12)</f>
        <v>237.5</v>
      </c>
      <c r="J18" s="41">
        <f>J13*(5/12)</f>
        <v>237.5</v>
      </c>
    </row>
    <row r="19" spans="1:10" ht="18" customHeight="1">
      <c r="A19" s="1" t="s">
        <v>40</v>
      </c>
      <c r="E19" s="39">
        <v>100</v>
      </c>
      <c r="F19" s="39">
        <v>100</v>
      </c>
      <c r="G19" s="40"/>
      <c r="H19" s="42">
        <v>100</v>
      </c>
      <c r="I19" s="39">
        <v>100</v>
      </c>
      <c r="J19" s="39">
        <v>100</v>
      </c>
    </row>
    <row r="20" spans="1:10" ht="21" customHeight="1">
      <c r="A20" s="1" t="s">
        <v>41</v>
      </c>
      <c r="E20" s="43">
        <v>0</v>
      </c>
      <c r="F20" s="43">
        <f>0*377/12</f>
        <v>0</v>
      </c>
      <c r="G20" s="44"/>
      <c r="H20" s="45">
        <f>+E52</f>
        <v>9659.3625000000011</v>
      </c>
      <c r="I20" s="45">
        <f>+I52</f>
        <v>10625.299166666666</v>
      </c>
      <c r="J20" s="45">
        <v>10625.299166666666</v>
      </c>
    </row>
    <row r="21" spans="1:10" ht="18" customHeight="1">
      <c r="E21" s="41">
        <f>SUM(E15:E20)</f>
        <v>16649.79</v>
      </c>
      <c r="F21" s="41">
        <f>SUM(F15:F20)</f>
        <v>17145.373333333333</v>
      </c>
      <c r="G21" s="46"/>
      <c r="H21" s="41">
        <f>SUM(H15:H20)</f>
        <v>26309.152500000004</v>
      </c>
      <c r="I21" s="41">
        <f>SUM(I15:I20)</f>
        <v>28018.464166666665</v>
      </c>
      <c r="J21" s="41">
        <f>SUM(J15:J20)</f>
        <v>28018.464166666665</v>
      </c>
    </row>
    <row r="22" spans="1:10" ht="18" customHeight="1">
      <c r="E22" s="41"/>
    </row>
    <row r="23" spans="1:10" ht="18" customHeight="1">
      <c r="A23" s="38" t="s">
        <v>42</v>
      </c>
    </row>
    <row r="24" spans="1:10" ht="18" customHeight="1">
      <c r="A24" s="1" t="s">
        <v>43</v>
      </c>
      <c r="E24" s="47">
        <f>+E13*22.5/12</f>
        <v>1068.75</v>
      </c>
      <c r="F24" s="47">
        <f>+F13*22.5/12</f>
        <v>1068.75</v>
      </c>
      <c r="G24" s="40"/>
      <c r="H24" s="39">
        <f>+H13*22.5/12</f>
        <v>1068.75</v>
      </c>
      <c r="I24" s="39">
        <f>+I13*22.5/12</f>
        <v>1068.75</v>
      </c>
      <c r="J24" s="39">
        <f>+J13*22.5/12</f>
        <v>1068.75</v>
      </c>
    </row>
    <row r="25" spans="1:10" ht="18" customHeight="1">
      <c r="A25" s="1" t="s">
        <v>44</v>
      </c>
      <c r="E25" s="47">
        <v>1275</v>
      </c>
      <c r="F25" s="47">
        <v>1317.5</v>
      </c>
      <c r="G25" s="40"/>
      <c r="H25" s="47">
        <v>1700</v>
      </c>
      <c r="I25" s="47">
        <v>1700</v>
      </c>
      <c r="J25" s="47">
        <v>1700</v>
      </c>
    </row>
    <row r="26" spans="1:10" ht="18" customHeight="1">
      <c r="A26" s="1" t="s">
        <v>45</v>
      </c>
      <c r="E26" s="47">
        <v>0</v>
      </c>
      <c r="F26" s="47">
        <v>0</v>
      </c>
      <c r="G26" s="40"/>
      <c r="H26" s="47">
        <v>425</v>
      </c>
      <c r="I26" s="47">
        <f>+H26</f>
        <v>425</v>
      </c>
      <c r="J26" s="47">
        <f>+I26</f>
        <v>425</v>
      </c>
    </row>
    <row r="27" spans="1:10" ht="18" customHeight="1">
      <c r="A27" s="1" t="s">
        <v>46</v>
      </c>
      <c r="E27" s="47">
        <f>(E15*0.045)/2</f>
        <v>334.51875000000001</v>
      </c>
      <c r="F27" s="47">
        <f>(F15*0.045)/2</f>
        <v>334.51875000000001</v>
      </c>
      <c r="G27" s="40"/>
      <c r="H27" s="39">
        <f>ROUND((H15*0.045/2),2)</f>
        <v>334.52</v>
      </c>
      <c r="I27" s="39">
        <f>ROUND((I15*0.045/2),2)</f>
        <v>334.52</v>
      </c>
      <c r="J27" s="39">
        <f>ROUND((J15*0.045/2),2)</f>
        <v>334.52</v>
      </c>
    </row>
    <row r="28" spans="1:10" ht="18" customHeight="1">
      <c r="A28" s="1" t="s">
        <v>47</v>
      </c>
      <c r="E28" s="47">
        <v>30</v>
      </c>
      <c r="F28" s="47">
        <v>30</v>
      </c>
      <c r="G28" s="40"/>
      <c r="H28" s="39">
        <v>30</v>
      </c>
      <c r="I28" s="39">
        <v>30</v>
      </c>
      <c r="J28" s="39">
        <v>30</v>
      </c>
    </row>
    <row r="29" spans="1:10" ht="18" customHeight="1">
      <c r="A29" s="1" t="s">
        <v>48</v>
      </c>
      <c r="E29" s="48">
        <v>100</v>
      </c>
      <c r="F29" s="48">
        <v>100</v>
      </c>
      <c r="G29" s="44"/>
      <c r="H29" s="43">
        <v>100</v>
      </c>
      <c r="I29" s="43">
        <v>100</v>
      </c>
      <c r="J29" s="43">
        <v>100</v>
      </c>
    </row>
    <row r="30" spans="1:10" ht="18" customHeight="1">
      <c r="E30" s="49">
        <f>SUM(E24:E29)</f>
        <v>2808.2687500000002</v>
      </c>
      <c r="F30" s="49">
        <f>SUM(F24:F29)</f>
        <v>2850.7687500000002</v>
      </c>
      <c r="G30" s="46"/>
      <c r="H30" s="41">
        <f>SUM(H24:H29)</f>
        <v>3658.27</v>
      </c>
      <c r="I30" s="41">
        <f>SUM(I24:I29)</f>
        <v>3658.27</v>
      </c>
      <c r="J30" s="41">
        <f>SUM(J24:J29)</f>
        <v>3658.27</v>
      </c>
    </row>
    <row r="31" spans="1:10" ht="18" customHeight="1"/>
    <row r="32" spans="1:10" ht="18" customHeight="1">
      <c r="E32" s="38"/>
      <c r="F32" s="38"/>
      <c r="G32" s="37"/>
    </row>
    <row r="33" spans="1:10" ht="18" customHeight="1">
      <c r="A33" s="38" t="s">
        <v>49</v>
      </c>
      <c r="D33" s="2" t="s">
        <v>35</v>
      </c>
      <c r="E33" s="50">
        <f>+E21+E30</f>
        <v>19458.05875</v>
      </c>
      <c r="F33" s="50">
        <f>+F21+F30</f>
        <v>19996.142083333332</v>
      </c>
      <c r="G33" s="2" t="s">
        <v>35</v>
      </c>
      <c r="H33" s="50">
        <f>+H30+H21</f>
        <v>29967.422500000004</v>
      </c>
      <c r="I33" s="50">
        <f>+I30+I21</f>
        <v>31676.734166666665</v>
      </c>
      <c r="J33" s="50">
        <f>+J30+J21</f>
        <v>31676.734166666665</v>
      </c>
    </row>
    <row r="34" spans="1:10" ht="18" customHeight="1"/>
    <row r="35" spans="1:10" ht="18" customHeight="1">
      <c r="A35" s="38" t="s">
        <v>50</v>
      </c>
    </row>
    <row r="36" spans="1:10" ht="15.75" customHeight="1">
      <c r="A36" s="102" t="s">
        <v>51</v>
      </c>
      <c r="B36" s="102"/>
      <c r="C36" s="65"/>
      <c r="E36" s="51">
        <f>+E33*24%</f>
        <v>4669.9340999999995</v>
      </c>
      <c r="F36" s="51">
        <f>+F33*24%</f>
        <v>4799.0740999999998</v>
      </c>
      <c r="G36" s="52"/>
      <c r="H36" s="50">
        <f>H33*C36</f>
        <v>0</v>
      </c>
      <c r="I36" s="50">
        <f>I33*C36</f>
        <v>0</v>
      </c>
      <c r="J36" s="50">
        <f>J33*C36</f>
        <v>0</v>
      </c>
    </row>
    <row r="37" spans="1:10" ht="18" customHeight="1">
      <c r="E37" s="38"/>
      <c r="F37" s="38"/>
      <c r="G37" s="37"/>
      <c r="H37" s="38"/>
      <c r="I37" s="38"/>
      <c r="J37" s="38"/>
    </row>
    <row r="38" spans="1:10" ht="18" customHeight="1">
      <c r="A38" s="38" t="s">
        <v>52</v>
      </c>
      <c r="E38" s="51">
        <f>+E36*0.12</f>
        <v>560.39209199999993</v>
      </c>
      <c r="F38" s="51">
        <f>+F36*0.12</f>
        <v>575.88889199999994</v>
      </c>
      <c r="G38" s="52"/>
      <c r="H38" s="51">
        <f>+H36*0.12</f>
        <v>0</v>
      </c>
      <c r="I38" s="51">
        <f>+I36*0.12</f>
        <v>0</v>
      </c>
      <c r="J38" s="51">
        <f>+J36*0.12</f>
        <v>0</v>
      </c>
    </row>
    <row r="39" spans="1:10" ht="18" customHeight="1"/>
    <row r="40" spans="1:10" ht="18" customHeight="1" thickBot="1">
      <c r="A40" s="38" t="s">
        <v>53</v>
      </c>
      <c r="D40" s="2" t="s">
        <v>35</v>
      </c>
      <c r="E40" s="53">
        <f>+E33+E36+E38</f>
        <v>24688.384941999997</v>
      </c>
      <c r="F40" s="53">
        <f>+F33+F36+F38</f>
        <v>25371.105075333329</v>
      </c>
      <c r="G40" s="2" t="s">
        <v>35</v>
      </c>
      <c r="H40" s="54">
        <f>H33+H36+H38</f>
        <v>29967.422500000004</v>
      </c>
      <c r="I40" s="54">
        <f>I33+I36+I38</f>
        <v>31676.734166666665</v>
      </c>
      <c r="J40" s="54">
        <f>J33+J36+J38</f>
        <v>31676.734166666665</v>
      </c>
    </row>
    <row r="41" spans="1:10" ht="18" customHeight="1" thickTop="1"/>
    <row r="42" spans="1:10">
      <c r="A42" s="38" t="s">
        <v>54</v>
      </c>
    </row>
    <row r="43" spans="1:10">
      <c r="E43" s="39"/>
      <c r="F43" s="39"/>
      <c r="G43" s="40"/>
    </row>
    <row r="44" spans="1:10" hidden="1">
      <c r="B44" s="1" t="s">
        <v>55</v>
      </c>
      <c r="E44" s="41"/>
      <c r="F44" s="41"/>
      <c r="G44" s="46"/>
      <c r="H44" s="1" t="s">
        <v>56</v>
      </c>
    </row>
    <row r="45" spans="1:10" hidden="1"/>
    <row r="46" spans="1:10" hidden="1">
      <c r="B46" s="1" t="s">
        <v>57</v>
      </c>
      <c r="C46" s="46">
        <f>E13/8</f>
        <v>71.25</v>
      </c>
      <c r="H46" s="1" t="s">
        <v>57</v>
      </c>
      <c r="I46" s="46">
        <f>I13/8</f>
        <v>71.25</v>
      </c>
      <c r="J46" s="46">
        <f>J13/8</f>
        <v>71.25</v>
      </c>
    </row>
    <row r="47" spans="1:10" hidden="1">
      <c r="A47" s="2">
        <v>295</v>
      </c>
      <c r="B47" s="1" t="s">
        <v>58</v>
      </c>
      <c r="E47" s="39">
        <f>ROUND((C46*1.25*295*4),2)</f>
        <v>105093.75</v>
      </c>
      <c r="H47" s="1" t="s">
        <v>59</v>
      </c>
      <c r="I47" s="55">
        <f>ROUND((I46*1.375*A47*4),2)</f>
        <v>115603.13</v>
      </c>
      <c r="J47" s="55" t="e">
        <f>ROUND((J46*1.375*B47*4),2)</f>
        <v>#VALUE!</v>
      </c>
    </row>
    <row r="48" spans="1:10" hidden="1">
      <c r="A48" s="2">
        <v>12</v>
      </c>
      <c r="B48" s="1" t="s">
        <v>60</v>
      </c>
      <c r="E48" s="39">
        <f>ROUND((C46*2.6*12*4),2)</f>
        <v>8892</v>
      </c>
      <c r="H48" s="1" t="s">
        <v>61</v>
      </c>
      <c r="I48" s="55">
        <f>ROUND((I46*2.86*A48*4),2)</f>
        <v>9781.2000000000007</v>
      </c>
      <c r="J48" s="55" t="e">
        <f>ROUND((J46*2.86*B48*4),2)</f>
        <v>#VALUE!</v>
      </c>
    </row>
    <row r="49" spans="1:10" hidden="1">
      <c r="A49" s="2">
        <v>4</v>
      </c>
      <c r="B49" s="1" t="s">
        <v>62</v>
      </c>
      <c r="E49" s="39">
        <f>ROUND((C46*1.69*4*4),2)</f>
        <v>1926.6</v>
      </c>
      <c r="H49" s="1" t="s">
        <v>63</v>
      </c>
      <c r="I49" s="45">
        <f>ROUND((I46*1.859*A49*4),2)</f>
        <v>2119.2600000000002</v>
      </c>
      <c r="J49" s="45" t="e">
        <f>ROUND((J46*1.859*B49*4),2)</f>
        <v>#VALUE!</v>
      </c>
    </row>
    <row r="50" spans="1:10" hidden="1">
      <c r="E50" s="56">
        <f>SUM(E47:E49)</f>
        <v>115912.35</v>
      </c>
      <c r="I50" s="55">
        <f>SUM(I47:I49)</f>
        <v>127503.59</v>
      </c>
      <c r="J50" s="55" t="e">
        <f>SUM(J47:J49)</f>
        <v>#VALUE!</v>
      </c>
    </row>
    <row r="51" spans="1:10" hidden="1">
      <c r="B51" s="1" t="s">
        <v>64</v>
      </c>
      <c r="E51" s="57">
        <v>12</v>
      </c>
      <c r="H51" s="1" t="s">
        <v>65</v>
      </c>
      <c r="I51" s="57">
        <v>12</v>
      </c>
      <c r="J51" s="57">
        <v>12</v>
      </c>
    </row>
    <row r="52" spans="1:10" ht="16.5" hidden="1" thickBot="1">
      <c r="B52" s="1" t="s">
        <v>66</v>
      </c>
      <c r="E52" s="53">
        <f>E50/E51</f>
        <v>9659.3625000000011</v>
      </c>
      <c r="H52" s="1" t="s">
        <v>67</v>
      </c>
      <c r="I52" s="58">
        <f>I50/I51</f>
        <v>10625.299166666666</v>
      </c>
      <c r="J52" s="58" t="e">
        <f>J50/J51</f>
        <v>#VALUE!</v>
      </c>
    </row>
    <row r="53" spans="1:10" hidden="1"/>
    <row r="54" spans="1:10" hidden="1">
      <c r="B54" s="38" t="s">
        <v>68</v>
      </c>
      <c r="E54" s="41"/>
      <c r="H54" s="38"/>
    </row>
    <row r="55" spans="1:10" ht="15" hidden="1" customHeight="1">
      <c r="B55" s="1" t="s">
        <v>69</v>
      </c>
    </row>
    <row r="56" spans="1:10" hidden="1">
      <c r="B56" s="1" t="s">
        <v>70</v>
      </c>
    </row>
    <row r="57" spans="1:10" hidden="1"/>
    <row r="58" spans="1:10" hidden="1"/>
    <row r="59" spans="1:10" ht="18" hidden="1" customHeight="1" thickBot="1">
      <c r="B59" s="1" t="s">
        <v>71</v>
      </c>
      <c r="E59" s="59">
        <f>E21-E17</f>
        <v>15205</v>
      </c>
      <c r="F59" s="59">
        <f>F21-F17</f>
        <v>15700.583333333332</v>
      </c>
      <c r="G59" s="60"/>
      <c r="H59" s="61">
        <f>H21-H17</f>
        <v>24864.362500000003</v>
      </c>
      <c r="I59" s="61">
        <f>I21-I17</f>
        <v>26573.674166666664</v>
      </c>
      <c r="J59" s="61">
        <f>J21-J17</f>
        <v>26573.674166666664</v>
      </c>
    </row>
    <row r="60" spans="1:10" hidden="1"/>
    <row r="61" spans="1:10" hidden="1"/>
    <row r="62" spans="1:10" hidden="1"/>
    <row r="63" spans="1:10">
      <c r="A63" s="1" t="s">
        <v>72</v>
      </c>
      <c r="H63" s="62">
        <v>1</v>
      </c>
      <c r="I63" s="62">
        <v>1</v>
      </c>
      <c r="J63" s="62">
        <v>0</v>
      </c>
    </row>
    <row r="64" spans="1:10">
      <c r="H64" s="63"/>
      <c r="I64" s="63"/>
      <c r="J64" s="63"/>
    </row>
    <row r="65" spans="1:10">
      <c r="A65" s="1" t="s">
        <v>73</v>
      </c>
      <c r="H65" s="63">
        <f>H63*H40</f>
        <v>29967.422500000004</v>
      </c>
      <c r="I65" s="63">
        <f>I63*I40</f>
        <v>31676.734166666665</v>
      </c>
      <c r="J65" s="63">
        <f>J63*J40</f>
        <v>0</v>
      </c>
    </row>
    <row r="67" spans="1:10" ht="16.5" thickBot="1">
      <c r="A67" s="1" t="s">
        <v>75</v>
      </c>
      <c r="H67" s="64">
        <f>H65*12</f>
        <v>359609.07000000007</v>
      </c>
      <c r="I67" s="64">
        <f>I65*12</f>
        <v>380120.81</v>
      </c>
      <c r="J67" s="64">
        <f>J65*12</f>
        <v>0</v>
      </c>
    </row>
    <row r="68" spans="1:10" ht="16.5" thickTop="1"/>
  </sheetData>
  <sheetProtection algorithmName="SHA-512" hashValue="Xf9/urhdZm9RRScGn1XJMpmOFJfxOsbtuhAZXM2jbqQcbx0KmpmpAa5xg6DJ4bPMp8OLbdW5JnmUVwXwQaY4TA==" saltValue="a9S5qNWHsgMph8Kwb86moQ==" spinCount="100000" sheet="1" objects="1" scenarios="1"/>
  <mergeCells count="6">
    <mergeCell ref="A36:B36"/>
    <mergeCell ref="E6:F6"/>
    <mergeCell ref="H6:I6"/>
    <mergeCell ref="A2:J2"/>
    <mergeCell ref="A3:J3"/>
    <mergeCell ref="A4:J4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65CB-5799-4F46-83B7-AC9D96292142}">
  <dimension ref="A1:J66"/>
  <sheetViews>
    <sheetView topLeftCell="A14" zoomScale="82" zoomScaleNormal="82" workbookViewId="0">
      <selection activeCell="C36" sqref="C36"/>
    </sheetView>
  </sheetViews>
  <sheetFormatPr defaultColWidth="9.140625" defaultRowHeight="15.75"/>
  <cols>
    <col min="1" max="1" width="4.7109375" style="1" customWidth="1"/>
    <col min="2" max="2" width="53.85546875" style="1" customWidth="1"/>
    <col min="3" max="3" width="6.85546875" style="1" customWidth="1"/>
    <col min="4" max="4" width="2.28515625" style="2" bestFit="1" customWidth="1"/>
    <col min="5" max="5" width="18.140625" style="1" customWidth="1"/>
    <col min="6" max="6" width="18" style="1" customWidth="1"/>
    <col min="7" max="7" width="2.28515625" style="2" hidden="1" customWidth="1"/>
    <col min="8" max="8" width="23.85546875" style="1" hidden="1" customWidth="1"/>
    <col min="9" max="9" width="21.5703125" style="1" hidden="1" customWidth="1"/>
    <col min="10" max="10" width="18" style="1" customWidth="1"/>
    <col min="11" max="16384" width="9.140625" style="1"/>
  </cols>
  <sheetData>
    <row r="1" spans="1:10">
      <c r="A1" s="16"/>
      <c r="B1" s="16"/>
      <c r="C1" s="16"/>
      <c r="D1" s="31"/>
      <c r="E1" s="16"/>
      <c r="F1" s="16"/>
      <c r="G1" s="31"/>
      <c r="H1" s="16"/>
      <c r="I1" s="16"/>
      <c r="J1" s="16"/>
    </row>
    <row r="2" spans="1:10">
      <c r="A2" s="100" t="s">
        <v>76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>
      <c r="A3" s="101" t="s">
        <v>77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>
      <c r="A4" s="101" t="s">
        <v>78</v>
      </c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H5" s="1" t="s">
        <v>79</v>
      </c>
    </row>
    <row r="6" spans="1:10" ht="18" customHeight="1">
      <c r="E6" s="100" t="s">
        <v>80</v>
      </c>
      <c r="F6" s="100"/>
      <c r="G6" s="100"/>
      <c r="H6" s="100"/>
      <c r="I6" s="100"/>
      <c r="J6" s="100"/>
    </row>
    <row r="7" spans="1:10" ht="18" customHeight="1">
      <c r="A7" s="1" t="s">
        <v>25</v>
      </c>
      <c r="E7" s="2" t="s">
        <v>26</v>
      </c>
      <c r="F7" s="2" t="s">
        <v>26</v>
      </c>
      <c r="H7" s="2" t="s">
        <v>26</v>
      </c>
      <c r="I7" s="2" t="s">
        <v>26</v>
      </c>
      <c r="J7" s="2" t="s">
        <v>26</v>
      </c>
    </row>
    <row r="8" spans="1:10" ht="18" customHeight="1">
      <c r="A8" s="1" t="s">
        <v>27</v>
      </c>
      <c r="E8" s="2">
        <v>313</v>
      </c>
      <c r="F8" s="2">
        <v>313</v>
      </c>
      <c r="H8" s="2">
        <v>313</v>
      </c>
      <c r="I8" s="2">
        <v>313</v>
      </c>
      <c r="J8" s="2">
        <v>313</v>
      </c>
    </row>
    <row r="9" spans="1:10" ht="18" customHeight="1">
      <c r="E9" s="2" t="s">
        <v>28</v>
      </c>
      <c r="F9" s="2" t="s">
        <v>28</v>
      </c>
      <c r="H9" s="2" t="s">
        <v>29</v>
      </c>
      <c r="I9" s="2" t="s">
        <v>29</v>
      </c>
      <c r="J9" s="2" t="s">
        <v>28</v>
      </c>
    </row>
    <row r="10" spans="1:10" ht="18" customHeight="1">
      <c r="E10" s="2" t="s">
        <v>30</v>
      </c>
      <c r="F10" s="2" t="s">
        <v>31</v>
      </c>
      <c r="H10" s="2" t="s">
        <v>30</v>
      </c>
      <c r="I10" s="2" t="s">
        <v>31</v>
      </c>
      <c r="J10" s="2" t="s">
        <v>32</v>
      </c>
    </row>
    <row r="11" spans="1:10" ht="18" customHeight="1"/>
    <row r="12" spans="1:10" ht="18" customHeight="1">
      <c r="A12" s="38" t="s">
        <v>33</v>
      </c>
    </row>
    <row r="13" spans="1:10" ht="18" customHeight="1">
      <c r="A13" s="1" t="s">
        <v>34</v>
      </c>
      <c r="D13" s="2" t="s">
        <v>35</v>
      </c>
      <c r="E13" s="39">
        <v>460</v>
      </c>
      <c r="F13" s="39">
        <v>460</v>
      </c>
      <c r="G13" s="2" t="s">
        <v>35</v>
      </c>
      <c r="H13" s="39">
        <v>460</v>
      </c>
      <c r="I13" s="39">
        <v>460</v>
      </c>
      <c r="J13" s="39">
        <v>460</v>
      </c>
    </row>
    <row r="14" spans="1:10" ht="18" customHeight="1"/>
    <row r="15" spans="1:10">
      <c r="A15" s="1" t="s">
        <v>36</v>
      </c>
      <c r="E15" s="39">
        <f>ROUND((E13*E8/12),2)</f>
        <v>11998.33</v>
      </c>
      <c r="F15" s="39">
        <f>ROUND((F13*F8/12),2)</f>
        <v>11998.33</v>
      </c>
      <c r="G15" s="40"/>
      <c r="H15" s="39">
        <f>ROUND((H13*H8/12),2)</f>
        <v>11998.33</v>
      </c>
      <c r="I15" s="39">
        <f>ROUND((I13*I8/12),2)</f>
        <v>11998.33</v>
      </c>
      <c r="J15" s="39">
        <f>ROUND((J13*J8/12),2)</f>
        <v>11998.33</v>
      </c>
    </row>
    <row r="16" spans="1:10" ht="19.5" customHeight="1">
      <c r="A16" s="1" t="s">
        <v>37</v>
      </c>
      <c r="E16" s="39">
        <v>0</v>
      </c>
      <c r="F16" s="39">
        <f>F15*10%*1/3</f>
        <v>399.94433333333336</v>
      </c>
      <c r="G16" s="40"/>
      <c r="H16" s="39">
        <v>0</v>
      </c>
      <c r="I16" s="39">
        <f>+I15*10%*1/2</f>
        <v>599.91650000000004</v>
      </c>
      <c r="J16" s="39">
        <f>J15*10%*1/3</f>
        <v>399.94433333333336</v>
      </c>
    </row>
    <row r="17" spans="1:10" ht="18" customHeight="1">
      <c r="A17" s="1" t="s">
        <v>38</v>
      </c>
      <c r="E17" s="39">
        <f>ROUND((E13*365/12/12),2)</f>
        <v>1165.97</v>
      </c>
      <c r="F17" s="39">
        <f>ROUND((F13*365/12/12),2)</f>
        <v>1165.97</v>
      </c>
      <c r="G17" s="40"/>
      <c r="H17" s="39">
        <f>ROUND((H13*365/12/12),2)</f>
        <v>1165.97</v>
      </c>
      <c r="I17" s="39">
        <f>ROUND((I13*365/12/12),2)</f>
        <v>1165.97</v>
      </c>
      <c r="J17" s="39">
        <f>ROUND((J13*365/12/12),2)</f>
        <v>1165.97</v>
      </c>
    </row>
    <row r="18" spans="1:10" ht="18" customHeight="1">
      <c r="A18" s="1" t="s">
        <v>39</v>
      </c>
      <c r="E18" s="39">
        <f>+E13*(5/12)</f>
        <v>191.66666666666669</v>
      </c>
      <c r="F18" s="39">
        <f>+F13*(5/12)</f>
        <v>191.66666666666669</v>
      </c>
      <c r="G18" s="40"/>
      <c r="H18" s="41">
        <f>H13*(5/12)</f>
        <v>191.66666666666669</v>
      </c>
      <c r="I18" s="41">
        <f>I13*(5/12)</f>
        <v>191.66666666666669</v>
      </c>
      <c r="J18" s="39">
        <f>+J13*(5/12)</f>
        <v>191.66666666666669</v>
      </c>
    </row>
    <row r="19" spans="1:10" ht="18" customHeight="1">
      <c r="A19" s="1" t="s">
        <v>40</v>
      </c>
      <c r="E19" s="39">
        <v>100</v>
      </c>
      <c r="F19" s="39">
        <v>100</v>
      </c>
      <c r="G19" s="40"/>
      <c r="H19" s="42">
        <v>100</v>
      </c>
      <c r="I19" s="39">
        <v>100</v>
      </c>
      <c r="J19" s="39">
        <v>100</v>
      </c>
    </row>
    <row r="20" spans="1:10" ht="21" customHeight="1">
      <c r="A20" s="1" t="s">
        <v>41</v>
      </c>
      <c r="E20" s="43">
        <v>0</v>
      </c>
      <c r="F20" s="43">
        <f>0*377/12</f>
        <v>0</v>
      </c>
      <c r="G20" s="44"/>
      <c r="H20" s="45">
        <f>+E52</f>
        <v>7795.2750000000005</v>
      </c>
      <c r="I20" s="45">
        <f>+I52</f>
        <v>8574.8024999999998</v>
      </c>
      <c r="J20" s="43">
        <f>0*377/12</f>
        <v>0</v>
      </c>
    </row>
    <row r="21" spans="1:10" ht="18" customHeight="1">
      <c r="E21" s="41">
        <f>SUM(E15:E20)</f>
        <v>13455.966666666665</v>
      </c>
      <c r="F21" s="41">
        <f>SUM(F15:F20)</f>
        <v>13855.910999999998</v>
      </c>
      <c r="G21" s="46"/>
      <c r="H21" s="41">
        <f>SUM(H15:H20)</f>
        <v>21251.241666666665</v>
      </c>
      <c r="I21" s="41">
        <f>SUM(I15:I20)</f>
        <v>22630.685666666664</v>
      </c>
      <c r="J21" s="41">
        <f>SUM(J15:J20)</f>
        <v>13855.910999999998</v>
      </c>
    </row>
    <row r="22" spans="1:10" ht="18" customHeight="1">
      <c r="E22" s="41"/>
    </row>
    <row r="23" spans="1:10" ht="18" customHeight="1">
      <c r="A23" s="38" t="s">
        <v>42</v>
      </c>
    </row>
    <row r="24" spans="1:10" ht="18" customHeight="1">
      <c r="A24" s="1" t="s">
        <v>43</v>
      </c>
      <c r="D24" s="2" t="s">
        <v>35</v>
      </c>
      <c r="E24" s="47">
        <f>+E13*22.5/12</f>
        <v>862.5</v>
      </c>
      <c r="F24" s="47">
        <f>+F13*22.5/12</f>
        <v>862.5</v>
      </c>
      <c r="G24" s="2" t="s">
        <v>35</v>
      </c>
      <c r="H24" s="39">
        <f>+H13*22.5/12</f>
        <v>862.5</v>
      </c>
      <c r="I24" s="39">
        <f>+I13*22.5/12</f>
        <v>862.5</v>
      </c>
      <c r="J24" s="47">
        <f>+J13*22.5/12</f>
        <v>862.5</v>
      </c>
    </row>
    <row r="25" spans="1:10" ht="18" customHeight="1">
      <c r="A25" s="1" t="s">
        <v>44</v>
      </c>
      <c r="E25" s="47">
        <v>1062.5</v>
      </c>
      <c r="F25" s="47">
        <v>1062.5</v>
      </c>
      <c r="G25" s="40"/>
      <c r="H25" s="47">
        <v>1700</v>
      </c>
      <c r="I25" s="47">
        <v>1700</v>
      </c>
      <c r="J25" s="47">
        <v>1062.5</v>
      </c>
    </row>
    <row r="26" spans="1:10" ht="18" customHeight="1">
      <c r="A26" s="1" t="s">
        <v>45</v>
      </c>
      <c r="E26" s="47">
        <v>0</v>
      </c>
      <c r="F26" s="47">
        <v>0</v>
      </c>
      <c r="G26" s="40"/>
      <c r="H26" s="47">
        <v>0</v>
      </c>
      <c r="I26" s="47">
        <v>127.5</v>
      </c>
      <c r="J26" s="47">
        <v>0</v>
      </c>
    </row>
    <row r="27" spans="1:10" ht="18" customHeight="1">
      <c r="A27" s="1" t="s">
        <v>46</v>
      </c>
      <c r="E27" s="47">
        <f>(E15*0.045)/2</f>
        <v>269.962425</v>
      </c>
      <c r="F27" s="47">
        <f>(F15*0.045)/2</f>
        <v>269.962425</v>
      </c>
      <c r="G27" s="40"/>
      <c r="H27" s="39">
        <f>ROUND((H15*0.045/2),2)</f>
        <v>269.95999999999998</v>
      </c>
      <c r="I27" s="39">
        <f>ROUND((I15*0.045/2),2)</f>
        <v>269.95999999999998</v>
      </c>
      <c r="J27" s="47">
        <f>(J15*0.045)/2</f>
        <v>269.962425</v>
      </c>
    </row>
    <row r="28" spans="1:10" ht="18" customHeight="1">
      <c r="A28" s="1" t="s">
        <v>47</v>
      </c>
      <c r="E28" s="47">
        <v>10</v>
      </c>
      <c r="F28" s="47">
        <v>10</v>
      </c>
      <c r="G28" s="40"/>
      <c r="H28" s="39">
        <v>30</v>
      </c>
      <c r="I28" s="39">
        <v>30</v>
      </c>
      <c r="J28" s="47">
        <v>10</v>
      </c>
    </row>
    <row r="29" spans="1:10" ht="18" customHeight="1">
      <c r="A29" s="1" t="s">
        <v>48</v>
      </c>
      <c r="E29" s="48">
        <v>100</v>
      </c>
      <c r="F29" s="48">
        <v>100</v>
      </c>
      <c r="G29" s="44"/>
      <c r="H29" s="43">
        <v>100</v>
      </c>
      <c r="I29" s="43">
        <v>100</v>
      </c>
      <c r="J29" s="48">
        <v>100</v>
      </c>
    </row>
    <row r="30" spans="1:10" ht="18" customHeight="1">
      <c r="E30" s="49">
        <f>SUM(E24:E29)</f>
        <v>2304.9624250000002</v>
      </c>
      <c r="F30" s="49">
        <f>SUM(F24:F29)</f>
        <v>2304.9624250000002</v>
      </c>
      <c r="G30" s="46"/>
      <c r="H30" s="41">
        <f>SUM(H24:H29)</f>
        <v>2962.46</v>
      </c>
      <c r="I30" s="41">
        <f>SUM(I24:I29)</f>
        <v>3089.96</v>
      </c>
      <c r="J30" s="49">
        <f>SUM(J24:J29)</f>
        <v>2304.9624250000002</v>
      </c>
    </row>
    <row r="31" spans="1:10" ht="18" customHeight="1"/>
    <row r="32" spans="1:10" ht="18" customHeight="1">
      <c r="E32" s="38"/>
      <c r="F32" s="38"/>
      <c r="G32" s="37"/>
      <c r="J32" s="38"/>
    </row>
    <row r="33" spans="1:10" ht="18" customHeight="1">
      <c r="A33" s="38" t="s">
        <v>49</v>
      </c>
      <c r="D33" s="2" t="s">
        <v>35</v>
      </c>
      <c r="E33" s="50">
        <f>+E21+E30</f>
        <v>15760.929091666665</v>
      </c>
      <c r="F33" s="50">
        <f>+F21+F30</f>
        <v>16160.873424999998</v>
      </c>
      <c r="G33" s="2" t="s">
        <v>35</v>
      </c>
      <c r="H33" s="50">
        <f>+H30+H21</f>
        <v>24213.701666666664</v>
      </c>
      <c r="I33" s="50">
        <f>+I30+I21</f>
        <v>25720.645666666664</v>
      </c>
      <c r="J33" s="50">
        <f>+J21+J30</f>
        <v>16160.873424999998</v>
      </c>
    </row>
    <row r="34" spans="1:10" ht="18" customHeight="1"/>
    <row r="35" spans="1:10" ht="18" customHeight="1">
      <c r="A35" s="38" t="s">
        <v>50</v>
      </c>
    </row>
    <row r="36" spans="1:10" ht="15.75" customHeight="1">
      <c r="A36" s="102" t="s">
        <v>51</v>
      </c>
      <c r="B36" s="102"/>
      <c r="C36" s="36"/>
      <c r="E36" s="51">
        <f>E33*C36</f>
        <v>0</v>
      </c>
      <c r="F36" s="51">
        <f>F33*C36</f>
        <v>0</v>
      </c>
      <c r="G36" s="52"/>
      <c r="H36" s="50">
        <f>H33*0.24</f>
        <v>5811.2883999999995</v>
      </c>
      <c r="I36" s="50">
        <f>I33*0.24</f>
        <v>6172.9549599999991</v>
      </c>
      <c r="J36" s="51">
        <f>J33*C36</f>
        <v>0</v>
      </c>
    </row>
    <row r="37" spans="1:10" ht="18" customHeight="1">
      <c r="E37" s="38"/>
      <c r="F37" s="38"/>
      <c r="G37" s="37"/>
      <c r="H37" s="38"/>
      <c r="I37" s="38"/>
      <c r="J37" s="38"/>
    </row>
    <row r="38" spans="1:10" ht="18" customHeight="1">
      <c r="A38" s="38" t="s">
        <v>52</v>
      </c>
      <c r="E38" s="51">
        <f>+E36*0.12</f>
        <v>0</v>
      </c>
      <c r="F38" s="51">
        <f>+F36*0.12</f>
        <v>0</v>
      </c>
      <c r="G38" s="52"/>
      <c r="H38" s="51">
        <f>+H36*0.12</f>
        <v>697.35460799999987</v>
      </c>
      <c r="I38" s="51">
        <f>+I36*0.12</f>
        <v>740.75459519999981</v>
      </c>
      <c r="J38" s="51">
        <f>+J36*0.12</f>
        <v>0</v>
      </c>
    </row>
    <row r="39" spans="1:10" ht="18" customHeight="1"/>
    <row r="40" spans="1:10" ht="18" customHeight="1" thickBot="1">
      <c r="A40" s="38" t="s">
        <v>53</v>
      </c>
      <c r="D40" s="2" t="s">
        <v>35</v>
      </c>
      <c r="E40" s="53">
        <f>+E33+E36+E38</f>
        <v>15760.929091666665</v>
      </c>
      <c r="F40" s="53">
        <f>+F33+F36+F38</f>
        <v>16160.873424999998</v>
      </c>
      <c r="G40" s="2" t="s">
        <v>35</v>
      </c>
      <c r="H40" s="54">
        <f>H33+H36+H38</f>
        <v>30722.344674666667</v>
      </c>
      <c r="I40" s="54">
        <f>I33+I36+I38</f>
        <v>32634.355221866663</v>
      </c>
      <c r="J40" s="53">
        <f>+J33+J36+J38</f>
        <v>16160.873424999998</v>
      </c>
    </row>
    <row r="41" spans="1:10" ht="18" customHeight="1" thickTop="1"/>
    <row r="42" spans="1:10" ht="18" customHeight="1"/>
    <row r="43" spans="1:10">
      <c r="A43" s="38" t="s">
        <v>81</v>
      </c>
      <c r="E43" s="39"/>
      <c r="F43" s="39"/>
      <c r="G43" s="40"/>
      <c r="J43" s="39"/>
    </row>
    <row r="44" spans="1:10" hidden="1">
      <c r="B44" s="1" t="s">
        <v>55</v>
      </c>
      <c r="E44" s="41"/>
      <c r="F44" s="41"/>
      <c r="G44" s="46"/>
      <c r="H44" s="1" t="s">
        <v>56</v>
      </c>
      <c r="J44" s="41"/>
    </row>
    <row r="45" spans="1:10" hidden="1"/>
    <row r="46" spans="1:10" hidden="1">
      <c r="B46" s="1" t="s">
        <v>57</v>
      </c>
      <c r="C46" s="46">
        <f>E13/8</f>
        <v>57.5</v>
      </c>
      <c r="H46" s="1" t="s">
        <v>57</v>
      </c>
      <c r="I46" s="46">
        <f>H13/8</f>
        <v>57.5</v>
      </c>
    </row>
    <row r="47" spans="1:10" hidden="1">
      <c r="A47" s="2">
        <v>295</v>
      </c>
      <c r="B47" s="1" t="s">
        <v>58</v>
      </c>
      <c r="E47" s="39">
        <f>ROUND((C46*1.25*295*4),2)</f>
        <v>84812.5</v>
      </c>
      <c r="H47" s="1" t="s">
        <v>59</v>
      </c>
      <c r="I47" s="55">
        <f>ROUND((I46*1.375*A47*4),2)</f>
        <v>93293.75</v>
      </c>
    </row>
    <row r="48" spans="1:10" hidden="1">
      <c r="A48" s="2">
        <v>12</v>
      </c>
      <c r="B48" s="1" t="s">
        <v>60</v>
      </c>
      <c r="E48" s="39">
        <f>ROUND((C46*2.6*12*4),2)</f>
        <v>7176</v>
      </c>
      <c r="H48" s="1" t="s">
        <v>61</v>
      </c>
      <c r="I48" s="55">
        <f>ROUND((I46*2.86*A48*4),2)</f>
        <v>7893.6</v>
      </c>
    </row>
    <row r="49" spans="1:10" hidden="1">
      <c r="A49" s="2">
        <v>4</v>
      </c>
      <c r="B49" s="1" t="s">
        <v>62</v>
      </c>
      <c r="E49" s="39">
        <f>ROUND((C46*1.69*4*4),2)</f>
        <v>1554.8</v>
      </c>
      <c r="H49" s="1" t="s">
        <v>63</v>
      </c>
      <c r="I49" s="45">
        <f>ROUND((I46*1.859*A49*4),2)</f>
        <v>1710.28</v>
      </c>
    </row>
    <row r="50" spans="1:10" hidden="1">
      <c r="E50" s="56">
        <f>SUM(E47:E49)</f>
        <v>93543.3</v>
      </c>
      <c r="I50" s="55">
        <f>SUM(I47:I49)</f>
        <v>102897.63</v>
      </c>
    </row>
    <row r="51" spans="1:10" hidden="1">
      <c r="B51" s="1" t="s">
        <v>64</v>
      </c>
      <c r="E51" s="57">
        <v>12</v>
      </c>
      <c r="H51" s="1" t="s">
        <v>65</v>
      </c>
      <c r="I51" s="57">
        <v>12</v>
      </c>
    </row>
    <row r="52" spans="1:10" ht="16.5" hidden="1" thickBot="1">
      <c r="B52" s="1" t="s">
        <v>66</v>
      </c>
      <c r="E52" s="53">
        <f>E50/E51</f>
        <v>7795.2750000000005</v>
      </c>
      <c r="H52" s="1" t="s">
        <v>67</v>
      </c>
      <c r="I52" s="58">
        <f>I50/I51</f>
        <v>8574.8024999999998</v>
      </c>
    </row>
    <row r="53" spans="1:10" hidden="1">
      <c r="E53" s="41"/>
    </row>
    <row r="54" spans="1:10" hidden="1">
      <c r="B54" s="38" t="s">
        <v>68</v>
      </c>
      <c r="E54" s="41"/>
      <c r="H54" s="38"/>
    </row>
    <row r="55" spans="1:10" ht="15" hidden="1" customHeight="1">
      <c r="B55" s="1" t="s">
        <v>69</v>
      </c>
    </row>
    <row r="56" spans="1:10" hidden="1">
      <c r="B56" s="1" t="s">
        <v>70</v>
      </c>
    </row>
    <row r="57" spans="1:10" hidden="1"/>
    <row r="58" spans="1:10" ht="16.5" hidden="1" thickBot="1">
      <c r="B58" s="1" t="s">
        <v>71</v>
      </c>
      <c r="E58" s="59">
        <f>E21-E17</f>
        <v>12289.996666666666</v>
      </c>
      <c r="F58" s="59">
        <f t="shared" ref="F58:G58" si="0">F21-F17</f>
        <v>12689.940999999999</v>
      </c>
      <c r="G58" s="60">
        <f t="shared" si="0"/>
        <v>0</v>
      </c>
      <c r="H58" s="59">
        <f>H21-H17</f>
        <v>20085.271666666664</v>
      </c>
      <c r="I58" s="59">
        <f>I21-I17</f>
        <v>21464.715666666663</v>
      </c>
      <c r="J58" s="59">
        <f t="shared" ref="J58" si="1">J21-J17</f>
        <v>12689.940999999999</v>
      </c>
    </row>
    <row r="59" spans="1:10" hidden="1"/>
    <row r="61" spans="1:10">
      <c r="A61" s="1" t="s">
        <v>72</v>
      </c>
      <c r="D61" s="1"/>
      <c r="E61" s="62">
        <v>2</v>
      </c>
      <c r="F61" s="62">
        <v>1</v>
      </c>
      <c r="H61" s="62">
        <v>3</v>
      </c>
      <c r="I61" s="62">
        <v>4</v>
      </c>
      <c r="J61" s="62">
        <v>1</v>
      </c>
    </row>
    <row r="62" spans="1:10">
      <c r="D62" s="1"/>
      <c r="E62" s="63"/>
      <c r="F62" s="63"/>
      <c r="H62" s="63"/>
      <c r="I62" s="63"/>
      <c r="J62" s="63"/>
    </row>
    <row r="63" spans="1:10">
      <c r="A63" s="1" t="s">
        <v>73</v>
      </c>
      <c r="D63" s="1"/>
      <c r="E63" s="63">
        <f>E40*E61</f>
        <v>31521.85818333333</v>
      </c>
      <c r="F63" s="63">
        <f>F40*F61</f>
        <v>16160.873424999998</v>
      </c>
      <c r="H63" s="63">
        <f>H61*H38</f>
        <v>2092.0638239999998</v>
      </c>
      <c r="I63" s="63">
        <f>I61*I38</f>
        <v>2963.0183807999992</v>
      </c>
      <c r="J63" s="63">
        <f>J40*J61</f>
        <v>16160.873424999998</v>
      </c>
    </row>
    <row r="64" spans="1:10">
      <c r="D64" s="1"/>
    </row>
    <row r="65" spans="1:10" ht="16.5" thickBot="1">
      <c r="A65" s="1" t="s">
        <v>82</v>
      </c>
      <c r="D65" s="1"/>
      <c r="E65" s="64">
        <f>E63*12</f>
        <v>378262.29819999996</v>
      </c>
      <c r="F65" s="64">
        <f>F63*12</f>
        <v>193930.48109999998</v>
      </c>
      <c r="H65" s="64">
        <f>H63*12</f>
        <v>25104.765887999998</v>
      </c>
      <c r="I65" s="64">
        <f>I63*12</f>
        <v>35556.220569599987</v>
      </c>
      <c r="J65" s="64">
        <f>J63*12</f>
        <v>193930.48109999998</v>
      </c>
    </row>
    <row r="66" spans="1:10" ht="16.5" thickTop="1"/>
  </sheetData>
  <sheetProtection algorithmName="SHA-512" hashValue="GoviE60Lu6hqTBlkpAdhTTIfTWdLgjJmgC8awbs2kwUDOPMn8lolCwC///TYNyPAnJphaCmw4fQc9zSTuOyVhA==" saltValue="xrggvh0+SaqEXIoO/2fNJQ==" spinCount="100000" sheet="1" objects="1" scenarios="1"/>
  <mergeCells count="5">
    <mergeCell ref="E6:J6"/>
    <mergeCell ref="A2:J2"/>
    <mergeCell ref="A3:J3"/>
    <mergeCell ref="A4:J4"/>
    <mergeCell ref="A36:B36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FDD40-2B3C-4317-95F6-C49FBD842801}">
  <dimension ref="A1:G67"/>
  <sheetViews>
    <sheetView topLeftCell="A22" zoomScale="82" zoomScaleNormal="82" workbookViewId="0">
      <selection activeCell="C36" sqref="C36"/>
    </sheetView>
  </sheetViews>
  <sheetFormatPr defaultColWidth="9.140625" defaultRowHeight="15.75"/>
  <cols>
    <col min="1" max="1" width="4.7109375" style="1" customWidth="1"/>
    <col min="2" max="2" width="53.5703125" style="1" customWidth="1"/>
    <col min="3" max="3" width="6.42578125" style="1" customWidth="1"/>
    <col min="4" max="4" width="2.28515625" style="2" bestFit="1" customWidth="1"/>
    <col min="5" max="5" width="18.140625" style="1" customWidth="1"/>
    <col min="6" max="7" width="18" style="1" customWidth="1"/>
    <col min="8" max="16384" width="9.140625" style="1"/>
  </cols>
  <sheetData>
    <row r="1" spans="1:7">
      <c r="A1" s="16"/>
      <c r="B1" s="16"/>
      <c r="C1" s="16"/>
      <c r="D1" s="31"/>
      <c r="E1" s="16"/>
      <c r="F1" s="16"/>
      <c r="G1" s="16"/>
    </row>
    <row r="2" spans="1:7">
      <c r="A2" s="100" t="s">
        <v>76</v>
      </c>
      <c r="B2" s="100"/>
      <c r="C2" s="100"/>
      <c r="D2" s="100"/>
      <c r="E2" s="100"/>
      <c r="F2" s="100"/>
      <c r="G2" s="100"/>
    </row>
    <row r="3" spans="1:7">
      <c r="A3" s="101" t="s">
        <v>77</v>
      </c>
      <c r="B3" s="101"/>
      <c r="C3" s="101"/>
      <c r="D3" s="101"/>
      <c r="E3" s="101"/>
      <c r="F3" s="101"/>
      <c r="G3" s="101"/>
    </row>
    <row r="4" spans="1:7">
      <c r="A4" s="101" t="s">
        <v>78</v>
      </c>
      <c r="B4" s="101"/>
      <c r="C4" s="101"/>
      <c r="D4" s="101"/>
      <c r="E4" s="101"/>
      <c r="F4" s="101"/>
      <c r="G4" s="101"/>
    </row>
    <row r="6" spans="1:7" ht="18" customHeight="1">
      <c r="E6" s="100" t="s">
        <v>80</v>
      </c>
      <c r="F6" s="100"/>
    </row>
    <row r="7" spans="1:7" ht="18" customHeight="1">
      <c r="A7" s="1" t="s">
        <v>25</v>
      </c>
      <c r="E7" s="2" t="s">
        <v>26</v>
      </c>
      <c r="F7" s="2" t="s">
        <v>26</v>
      </c>
      <c r="G7" s="2" t="s">
        <v>26</v>
      </c>
    </row>
    <row r="8" spans="1:7" ht="18" customHeight="1">
      <c r="A8" s="1" t="s">
        <v>27</v>
      </c>
      <c r="E8" s="2">
        <v>313</v>
      </c>
      <c r="F8" s="2">
        <v>313</v>
      </c>
      <c r="G8" s="2">
        <v>313</v>
      </c>
    </row>
    <row r="9" spans="1:7" ht="18" customHeight="1">
      <c r="E9" s="2" t="s">
        <v>28</v>
      </c>
      <c r="F9" s="2" t="s">
        <v>28</v>
      </c>
      <c r="G9" s="2" t="s">
        <v>28</v>
      </c>
    </row>
    <row r="10" spans="1:7" ht="18" customHeight="1">
      <c r="E10" s="2" t="s">
        <v>30</v>
      </c>
      <c r="F10" s="2" t="s">
        <v>31</v>
      </c>
      <c r="G10" s="2" t="s">
        <v>32</v>
      </c>
    </row>
    <row r="11" spans="1:7" ht="18" customHeight="1"/>
    <row r="12" spans="1:7" ht="18" customHeight="1">
      <c r="A12" s="38" t="s">
        <v>33</v>
      </c>
    </row>
    <row r="13" spans="1:7" ht="18" customHeight="1">
      <c r="A13" s="1" t="s">
        <v>34</v>
      </c>
      <c r="D13" s="2" t="s">
        <v>35</v>
      </c>
      <c r="E13" s="39">
        <v>460</v>
      </c>
      <c r="F13" s="39">
        <v>460</v>
      </c>
      <c r="G13" s="39">
        <v>460</v>
      </c>
    </row>
    <row r="14" spans="1:7" ht="18" customHeight="1"/>
    <row r="15" spans="1:7">
      <c r="A15" s="1" t="s">
        <v>36</v>
      </c>
      <c r="E15" s="39">
        <f>ROUND((E13*E8/12),2)</f>
        <v>11998.33</v>
      </c>
      <c r="F15" s="39">
        <f>ROUND((F13*F8/12),2)</f>
        <v>11998.33</v>
      </c>
      <c r="G15" s="39">
        <f>ROUND((G13*G8/12),2)</f>
        <v>11998.33</v>
      </c>
    </row>
    <row r="16" spans="1:7" ht="19.5" customHeight="1">
      <c r="A16" s="1" t="s">
        <v>37</v>
      </c>
      <c r="E16" s="39">
        <v>0</v>
      </c>
      <c r="F16" s="39">
        <f>F15*10%*1/3</f>
        <v>399.94433333333336</v>
      </c>
      <c r="G16" s="39">
        <f>G15*10%*1/3</f>
        <v>399.94433333333336</v>
      </c>
    </row>
    <row r="17" spans="1:7" ht="18" customHeight="1">
      <c r="A17" s="1" t="s">
        <v>38</v>
      </c>
      <c r="E17" s="39">
        <f>ROUND((E13*365/12/12),2)</f>
        <v>1165.97</v>
      </c>
      <c r="F17" s="39">
        <f>ROUND((F13*365/12/12),2)</f>
        <v>1165.97</v>
      </c>
      <c r="G17" s="39">
        <f>ROUND((G13*365/12/12),2)</f>
        <v>1165.97</v>
      </c>
    </row>
    <row r="18" spans="1:7" ht="18" customHeight="1">
      <c r="A18" s="1" t="s">
        <v>39</v>
      </c>
      <c r="E18" s="39">
        <f>+E13*(5/12)</f>
        <v>191.66666666666669</v>
      </c>
      <c r="F18" s="39">
        <f>+F13*(5/12)</f>
        <v>191.66666666666669</v>
      </c>
      <c r="G18" s="39">
        <f>+G13*(5/12)</f>
        <v>191.66666666666669</v>
      </c>
    </row>
    <row r="19" spans="1:7" ht="18" customHeight="1">
      <c r="A19" s="1" t="s">
        <v>40</v>
      </c>
      <c r="E19" s="39">
        <v>100</v>
      </c>
      <c r="F19" s="39">
        <v>100</v>
      </c>
      <c r="G19" s="39">
        <v>100</v>
      </c>
    </row>
    <row r="20" spans="1:7" ht="21" customHeight="1">
      <c r="A20" s="1" t="s">
        <v>41</v>
      </c>
      <c r="E20" s="43">
        <v>0</v>
      </c>
      <c r="F20" s="43">
        <f>0*377/12</f>
        <v>0</v>
      </c>
      <c r="G20" s="43">
        <f>0*377/12</f>
        <v>0</v>
      </c>
    </row>
    <row r="21" spans="1:7" ht="18" customHeight="1">
      <c r="E21" s="41">
        <f>SUM(E15:E20)</f>
        <v>13455.966666666665</v>
      </c>
      <c r="F21" s="41">
        <f>SUM(F15:F20)</f>
        <v>13855.910999999998</v>
      </c>
      <c r="G21" s="41">
        <f>SUM(G15:G20)</f>
        <v>13855.910999999998</v>
      </c>
    </row>
    <row r="22" spans="1:7" ht="18" customHeight="1">
      <c r="E22" s="41"/>
    </row>
    <row r="23" spans="1:7" ht="18" customHeight="1">
      <c r="A23" s="38" t="s">
        <v>42</v>
      </c>
    </row>
    <row r="24" spans="1:7" ht="18" customHeight="1">
      <c r="A24" s="1" t="s">
        <v>43</v>
      </c>
      <c r="D24" s="2" t="s">
        <v>35</v>
      </c>
      <c r="E24" s="47">
        <f>+E13*22.5/12</f>
        <v>862.5</v>
      </c>
      <c r="F24" s="47">
        <f>+F13*22.5/12</f>
        <v>862.5</v>
      </c>
      <c r="G24" s="47">
        <f>+G13*22.5/12</f>
        <v>862.5</v>
      </c>
    </row>
    <row r="25" spans="1:7" ht="18" customHeight="1">
      <c r="A25" s="1" t="s">
        <v>44</v>
      </c>
      <c r="E25" s="47">
        <v>1062.5</v>
      </c>
      <c r="F25" s="47">
        <v>1062.5</v>
      </c>
      <c r="G25" s="47">
        <v>1062.5</v>
      </c>
    </row>
    <row r="26" spans="1:7" ht="18" customHeight="1">
      <c r="A26" s="1" t="s">
        <v>45</v>
      </c>
      <c r="E26" s="47">
        <v>0</v>
      </c>
      <c r="F26" s="47">
        <v>0</v>
      </c>
      <c r="G26" s="47">
        <v>0</v>
      </c>
    </row>
    <row r="27" spans="1:7" ht="18" customHeight="1">
      <c r="A27" s="1" t="s">
        <v>46</v>
      </c>
      <c r="E27" s="47">
        <f>(E15*0.045)/2</f>
        <v>269.962425</v>
      </c>
      <c r="F27" s="47">
        <f>(F15*0.045)/2</f>
        <v>269.962425</v>
      </c>
      <c r="G27" s="47">
        <f>(G15*0.045)/2</f>
        <v>269.962425</v>
      </c>
    </row>
    <row r="28" spans="1:7" ht="18" customHeight="1">
      <c r="A28" s="1" t="s">
        <v>47</v>
      </c>
      <c r="E28" s="47">
        <v>10</v>
      </c>
      <c r="F28" s="47">
        <v>10</v>
      </c>
      <c r="G28" s="47">
        <v>10</v>
      </c>
    </row>
    <row r="29" spans="1:7" ht="18" customHeight="1">
      <c r="A29" s="1" t="s">
        <v>48</v>
      </c>
      <c r="E29" s="48">
        <v>100</v>
      </c>
      <c r="F29" s="48">
        <v>100</v>
      </c>
      <c r="G29" s="48">
        <v>100</v>
      </c>
    </row>
    <row r="30" spans="1:7" ht="18" customHeight="1">
      <c r="E30" s="49">
        <f>SUM(E24:E29)</f>
        <v>2304.9624250000002</v>
      </c>
      <c r="F30" s="49">
        <f>SUM(F24:F29)</f>
        <v>2304.9624250000002</v>
      </c>
      <c r="G30" s="49">
        <f>SUM(G24:G29)</f>
        <v>2304.9624250000002</v>
      </c>
    </row>
    <row r="31" spans="1:7" ht="18" customHeight="1"/>
    <row r="32" spans="1:7" ht="18" customHeight="1">
      <c r="E32" s="38"/>
      <c r="F32" s="38"/>
      <c r="G32" s="38"/>
    </row>
    <row r="33" spans="1:7" ht="18" customHeight="1">
      <c r="A33" s="38" t="s">
        <v>49</v>
      </c>
      <c r="D33" s="2" t="s">
        <v>35</v>
      </c>
      <c r="E33" s="50">
        <f>+E21+E30</f>
        <v>15760.929091666665</v>
      </c>
      <c r="F33" s="50">
        <f>+F21+F30</f>
        <v>16160.873424999998</v>
      </c>
      <c r="G33" s="50">
        <f>+G21+G30</f>
        <v>16160.873424999998</v>
      </c>
    </row>
    <row r="34" spans="1:7" ht="18" customHeight="1"/>
    <row r="35" spans="1:7" ht="18" customHeight="1">
      <c r="A35" s="38" t="s">
        <v>50</v>
      </c>
    </row>
    <row r="36" spans="1:7" ht="15.75" customHeight="1">
      <c r="A36" s="102" t="s">
        <v>51</v>
      </c>
      <c r="B36" s="102"/>
      <c r="C36" s="36"/>
      <c r="E36" s="51">
        <f>E33*C36</f>
        <v>0</v>
      </c>
      <c r="F36" s="51">
        <f>F33*C36</f>
        <v>0</v>
      </c>
      <c r="G36" s="51">
        <f>G33*C36</f>
        <v>0</v>
      </c>
    </row>
    <row r="37" spans="1:7" ht="18" customHeight="1">
      <c r="E37" s="38"/>
      <c r="F37" s="38"/>
      <c r="G37" s="38"/>
    </row>
    <row r="38" spans="1:7" ht="18" customHeight="1">
      <c r="A38" s="38" t="s">
        <v>52</v>
      </c>
      <c r="E38" s="51">
        <f>+E36*0.12</f>
        <v>0</v>
      </c>
      <c r="F38" s="51">
        <f>+F36*0.12</f>
        <v>0</v>
      </c>
      <c r="G38" s="51">
        <f>+G36*0.12</f>
        <v>0</v>
      </c>
    </row>
    <row r="39" spans="1:7" ht="18" customHeight="1"/>
    <row r="40" spans="1:7" ht="18" customHeight="1" thickBot="1">
      <c r="A40" s="38" t="s">
        <v>53</v>
      </c>
      <c r="D40" s="2" t="s">
        <v>35</v>
      </c>
      <c r="E40" s="53">
        <f>+E33+E36+E38</f>
        <v>15760.929091666665</v>
      </c>
      <c r="F40" s="53">
        <f>+F33+F36+F38</f>
        <v>16160.873424999998</v>
      </c>
      <c r="G40" s="53">
        <f>+G33+G36+G38</f>
        <v>16160.873424999998</v>
      </c>
    </row>
    <row r="41" spans="1:7" ht="18" customHeight="1" thickTop="1"/>
    <row r="42" spans="1:7" ht="18" customHeight="1"/>
    <row r="43" spans="1:7" hidden="1">
      <c r="E43" s="39"/>
      <c r="F43" s="39"/>
      <c r="G43" s="39"/>
    </row>
    <row r="44" spans="1:7" hidden="1">
      <c r="B44" s="1" t="s">
        <v>55</v>
      </c>
      <c r="E44" s="41"/>
      <c r="F44" s="41"/>
      <c r="G44" s="41"/>
    </row>
    <row r="45" spans="1:7" hidden="1"/>
    <row r="46" spans="1:7" hidden="1">
      <c r="B46" s="1" t="s">
        <v>57</v>
      </c>
      <c r="C46" s="46">
        <f>E13/8</f>
        <v>57.5</v>
      </c>
    </row>
    <row r="47" spans="1:7" hidden="1">
      <c r="A47" s="2">
        <v>295</v>
      </c>
      <c r="B47" s="1" t="s">
        <v>58</v>
      </c>
      <c r="E47" s="39">
        <f>ROUND((C46*1.25*295*4),2)</f>
        <v>84812.5</v>
      </c>
    </row>
    <row r="48" spans="1:7" hidden="1">
      <c r="A48" s="2">
        <v>12</v>
      </c>
      <c r="B48" s="1" t="s">
        <v>60</v>
      </c>
      <c r="E48" s="39">
        <f>ROUND((C46*2.6*12*4),2)</f>
        <v>7176</v>
      </c>
    </row>
    <row r="49" spans="1:7" hidden="1">
      <c r="A49" s="2">
        <v>4</v>
      </c>
      <c r="B49" s="1" t="s">
        <v>62</v>
      </c>
      <c r="E49" s="39">
        <f>ROUND((C46*1.69*4*4),2)</f>
        <v>1554.8</v>
      </c>
    </row>
    <row r="50" spans="1:7" hidden="1">
      <c r="E50" s="56">
        <f>SUM(E47:E49)</f>
        <v>93543.3</v>
      </c>
    </row>
    <row r="51" spans="1:7" hidden="1">
      <c r="B51" s="1" t="s">
        <v>64</v>
      </c>
      <c r="E51" s="57">
        <v>12</v>
      </c>
    </row>
    <row r="52" spans="1:7" ht="16.5" hidden="1" thickBot="1">
      <c r="B52" s="1" t="s">
        <v>66</v>
      </c>
      <c r="E52" s="53">
        <f>E50/E51</f>
        <v>7795.2750000000005</v>
      </c>
    </row>
    <row r="53" spans="1:7" hidden="1">
      <c r="E53" s="41"/>
    </row>
    <row r="54" spans="1:7" hidden="1">
      <c r="B54" s="38" t="s">
        <v>68</v>
      </c>
      <c r="E54" s="41"/>
    </row>
    <row r="55" spans="1:7" ht="15" hidden="1" customHeight="1">
      <c r="B55" s="1" t="s">
        <v>69</v>
      </c>
    </row>
    <row r="56" spans="1:7" hidden="1">
      <c r="B56" s="1" t="s">
        <v>70</v>
      </c>
    </row>
    <row r="57" spans="1:7" hidden="1"/>
    <row r="58" spans="1:7" ht="16.5" hidden="1" thickBot="1">
      <c r="B58" s="1" t="s">
        <v>71</v>
      </c>
      <c r="E58" s="59">
        <f>E21-E17</f>
        <v>12289.996666666666</v>
      </c>
      <c r="F58" s="59">
        <f t="shared" ref="F58" si="0">F21-F17</f>
        <v>12689.940999999999</v>
      </c>
      <c r="G58" s="59">
        <f t="shared" ref="G58" si="1">G21-G17</f>
        <v>12689.940999999999</v>
      </c>
    </row>
    <row r="59" spans="1:7" hidden="1"/>
    <row r="60" spans="1:7">
      <c r="A60" s="38" t="s">
        <v>81</v>
      </c>
    </row>
    <row r="62" spans="1:7">
      <c r="A62" s="1" t="s">
        <v>72</v>
      </c>
      <c r="E62" s="62">
        <v>3</v>
      </c>
      <c r="F62" s="62">
        <v>1</v>
      </c>
      <c r="G62" s="62">
        <v>1</v>
      </c>
    </row>
    <row r="63" spans="1:7">
      <c r="E63" s="63"/>
      <c r="F63" s="63"/>
      <c r="G63" s="63"/>
    </row>
    <row r="64" spans="1:7">
      <c r="A64" s="1" t="s">
        <v>73</v>
      </c>
      <c r="E64" s="63">
        <f>E40*E62</f>
        <v>47282.787274999995</v>
      </c>
      <c r="F64" s="63">
        <f>F40*F62</f>
        <v>16160.873424999998</v>
      </c>
      <c r="G64" s="63">
        <f>G40*G62</f>
        <v>16160.873424999998</v>
      </c>
    </row>
    <row r="66" spans="1:7" ht="16.5" thickBot="1">
      <c r="A66" s="1" t="s">
        <v>84</v>
      </c>
      <c r="E66" s="64">
        <f>E64*12</f>
        <v>567393.44729999988</v>
      </c>
      <c r="F66" s="64">
        <f>F64*12</f>
        <v>193930.48109999998</v>
      </c>
      <c r="G66" s="64">
        <f>G64*12</f>
        <v>193930.48109999998</v>
      </c>
    </row>
    <row r="67" spans="1:7" ht="16.5" thickTop="1"/>
  </sheetData>
  <sheetProtection algorithmName="SHA-512" hashValue="ibvj8lycM39u5wnVT269Fq9kAtSc+V8tZaWuttfRZeQq6/4c7RNr0fBd3ICKxKhKnIF3DkjeFZPg1+lN2o9DUw==" saltValue="gnqugdI1UrcF6rjygPxqHg==" spinCount="100000" sheet="1" objects="1" scenarios="1"/>
  <mergeCells count="5">
    <mergeCell ref="E6:F6"/>
    <mergeCell ref="A36:B36"/>
    <mergeCell ref="A2:G2"/>
    <mergeCell ref="A3:G3"/>
    <mergeCell ref="A4:G4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06C6-A670-4FFE-BD1D-062A26DBF40D}">
  <dimension ref="A1:J69"/>
  <sheetViews>
    <sheetView topLeftCell="A9" zoomScale="82" zoomScaleNormal="82" workbookViewId="0">
      <selection activeCell="C36" sqref="C36"/>
    </sheetView>
  </sheetViews>
  <sheetFormatPr defaultColWidth="9.140625" defaultRowHeight="15.75"/>
  <cols>
    <col min="1" max="1" width="4.7109375" style="1" customWidth="1"/>
    <col min="2" max="2" width="53.42578125" style="1" customWidth="1"/>
    <col min="3" max="3" width="7" style="1" customWidth="1"/>
    <col min="4" max="4" width="2.28515625" style="2" hidden="1" customWidth="1"/>
    <col min="5" max="5" width="18.140625" style="1" hidden="1" customWidth="1"/>
    <col min="6" max="6" width="18" style="1" hidden="1" customWidth="1"/>
    <col min="7" max="7" width="2.28515625" style="2" customWidth="1"/>
    <col min="8" max="8" width="23.85546875" style="1" customWidth="1"/>
    <col min="9" max="9" width="21.5703125" style="1" customWidth="1"/>
    <col min="10" max="10" width="2" style="1" customWidth="1"/>
    <col min="11" max="16384" width="9.140625" style="1"/>
  </cols>
  <sheetData>
    <row r="1" spans="1:10">
      <c r="A1" s="16"/>
      <c r="B1" s="16"/>
      <c r="C1" s="16"/>
      <c r="D1" s="31"/>
      <c r="E1" s="16"/>
      <c r="F1" s="16"/>
      <c r="G1" s="31"/>
      <c r="H1" s="16"/>
      <c r="I1" s="16"/>
    </row>
    <row r="2" spans="1:10">
      <c r="A2" s="100" t="s">
        <v>76</v>
      </c>
      <c r="B2" s="100"/>
      <c r="C2" s="100"/>
      <c r="D2" s="100"/>
      <c r="E2" s="100"/>
      <c r="F2" s="100"/>
      <c r="G2" s="100"/>
      <c r="H2" s="100"/>
      <c r="I2" s="100"/>
    </row>
    <row r="3" spans="1:10">
      <c r="A3" s="101" t="s">
        <v>77</v>
      </c>
      <c r="B3" s="101"/>
      <c r="C3" s="101"/>
      <c r="D3" s="101"/>
      <c r="E3" s="101"/>
      <c r="F3" s="101"/>
      <c r="G3" s="101"/>
      <c r="H3" s="101"/>
      <c r="I3" s="101"/>
    </row>
    <row r="4" spans="1:10">
      <c r="A4" s="101" t="s">
        <v>78</v>
      </c>
      <c r="B4" s="101"/>
      <c r="C4" s="101"/>
      <c r="D4" s="101"/>
      <c r="E4" s="101"/>
      <c r="F4" s="101"/>
      <c r="G4" s="101"/>
      <c r="H4" s="101"/>
      <c r="I4" s="101"/>
    </row>
    <row r="5" spans="1:10">
      <c r="H5" s="1" t="s">
        <v>79</v>
      </c>
    </row>
    <row r="6" spans="1:10" ht="18" customHeight="1">
      <c r="E6" s="100" t="s">
        <v>80</v>
      </c>
      <c r="F6" s="100"/>
      <c r="H6" s="100" t="s">
        <v>83</v>
      </c>
      <c r="I6" s="100"/>
    </row>
    <row r="7" spans="1:10" ht="18" customHeight="1">
      <c r="A7" s="1" t="s">
        <v>25</v>
      </c>
      <c r="E7" s="2" t="s">
        <v>26</v>
      </c>
      <c r="F7" s="2" t="s">
        <v>26</v>
      </c>
      <c r="H7" s="2" t="s">
        <v>26</v>
      </c>
      <c r="I7" s="2" t="s">
        <v>26</v>
      </c>
    </row>
    <row r="8" spans="1:10" ht="18" customHeight="1">
      <c r="A8" s="1" t="s">
        <v>27</v>
      </c>
      <c r="E8" s="2">
        <v>313</v>
      </c>
      <c r="F8" s="2">
        <v>313</v>
      </c>
      <c r="H8" s="2">
        <v>313</v>
      </c>
      <c r="I8" s="2">
        <v>313</v>
      </c>
    </row>
    <row r="9" spans="1:10" ht="18" customHeight="1">
      <c r="E9" s="2" t="s">
        <v>28</v>
      </c>
      <c r="F9" s="2" t="s">
        <v>28</v>
      </c>
      <c r="H9" s="2" t="s">
        <v>29</v>
      </c>
      <c r="I9" s="2" t="s">
        <v>29</v>
      </c>
    </row>
    <row r="10" spans="1:10" ht="18" customHeight="1">
      <c r="E10" s="2" t="s">
        <v>30</v>
      </c>
      <c r="F10" s="2" t="s">
        <v>31</v>
      </c>
      <c r="H10" s="2" t="s">
        <v>30</v>
      </c>
      <c r="I10" s="2" t="s">
        <v>85</v>
      </c>
    </row>
    <row r="11" spans="1:10" ht="18" customHeight="1"/>
    <row r="12" spans="1:10" ht="18" customHeight="1">
      <c r="A12" s="38" t="s">
        <v>33</v>
      </c>
    </row>
    <row r="13" spans="1:10" ht="18" customHeight="1">
      <c r="A13" s="1" t="s">
        <v>34</v>
      </c>
      <c r="D13" s="2" t="s">
        <v>35</v>
      </c>
      <c r="E13" s="39">
        <v>460</v>
      </c>
      <c r="F13" s="39">
        <v>460</v>
      </c>
      <c r="G13" s="2" t="s">
        <v>35</v>
      </c>
      <c r="H13" s="39">
        <v>460</v>
      </c>
      <c r="I13" s="39">
        <v>460</v>
      </c>
      <c r="J13" s="17"/>
    </row>
    <row r="14" spans="1:10" ht="18" customHeight="1"/>
    <row r="15" spans="1:10">
      <c r="A15" s="1" t="s">
        <v>36</v>
      </c>
      <c r="E15" s="39">
        <f>ROUND((E13*E8/12),2)</f>
        <v>11998.33</v>
      </c>
      <c r="F15" s="39">
        <f>ROUND((F13*F8/12),2)</f>
        <v>11998.33</v>
      </c>
      <c r="G15" s="40"/>
      <c r="H15" s="39">
        <f>ROUND((H13*H8/12),2)</f>
        <v>11998.33</v>
      </c>
      <c r="I15" s="39">
        <v>11998.33</v>
      </c>
    </row>
    <row r="16" spans="1:10" ht="19.5" customHeight="1">
      <c r="A16" s="1" t="s">
        <v>37</v>
      </c>
      <c r="E16" s="39">
        <v>0</v>
      </c>
      <c r="F16" s="39">
        <f>F15*10%*1/3</f>
        <v>399.94433333333336</v>
      </c>
      <c r="G16" s="40"/>
      <c r="H16" s="39">
        <v>0</v>
      </c>
      <c r="I16" s="39">
        <v>0</v>
      </c>
    </row>
    <row r="17" spans="1:9" ht="18" customHeight="1">
      <c r="A17" s="1" t="s">
        <v>38</v>
      </c>
      <c r="E17" s="39">
        <f>ROUND((E13*365/12/12),2)</f>
        <v>1165.97</v>
      </c>
      <c r="F17" s="39">
        <f>ROUND((F13*365/12/12),2)</f>
        <v>1165.97</v>
      </c>
      <c r="G17" s="40"/>
      <c r="H17" s="39">
        <f>ROUND((H13*365/12/12),2)</f>
        <v>1165.97</v>
      </c>
      <c r="I17" s="39">
        <v>1165.97</v>
      </c>
    </row>
    <row r="18" spans="1:9" ht="18" customHeight="1">
      <c r="A18" s="1" t="s">
        <v>39</v>
      </c>
      <c r="E18" s="39">
        <f>+E13*(5/12)</f>
        <v>191.66666666666669</v>
      </c>
      <c r="F18" s="39">
        <f>+F13*(5/12)</f>
        <v>191.66666666666669</v>
      </c>
      <c r="G18" s="40"/>
      <c r="H18" s="41">
        <f>H13*(5/12)</f>
        <v>191.66666666666669</v>
      </c>
      <c r="I18" s="41">
        <v>191.66666666666669</v>
      </c>
    </row>
    <row r="19" spans="1:9" ht="18" customHeight="1">
      <c r="A19" s="1" t="s">
        <v>40</v>
      </c>
      <c r="E19" s="39">
        <v>100</v>
      </c>
      <c r="F19" s="39">
        <v>100</v>
      </c>
      <c r="G19" s="40"/>
      <c r="H19" s="42">
        <v>100</v>
      </c>
      <c r="I19" s="39">
        <v>100</v>
      </c>
    </row>
    <row r="20" spans="1:9" ht="21" customHeight="1">
      <c r="A20" s="1" t="s">
        <v>41</v>
      </c>
      <c r="E20" s="43">
        <v>0</v>
      </c>
      <c r="F20" s="43">
        <f>0*377/12</f>
        <v>0</v>
      </c>
      <c r="G20" s="44"/>
      <c r="H20" s="45">
        <f>+E52</f>
        <v>7795.2750000000005</v>
      </c>
      <c r="I20" s="45">
        <v>7795.2750000000005</v>
      </c>
    </row>
    <row r="21" spans="1:9" ht="18" customHeight="1">
      <c r="E21" s="41">
        <f>SUM(E15:E20)</f>
        <v>13455.966666666665</v>
      </c>
      <c r="F21" s="41">
        <f>SUM(F15:F20)</f>
        <v>13855.910999999998</v>
      </c>
      <c r="G21" s="46"/>
      <c r="H21" s="41">
        <f>SUM(H15:H20)</f>
        <v>21251.241666666665</v>
      </c>
      <c r="I21" s="41">
        <f>SUM(I15:I20)</f>
        <v>21251.241666666665</v>
      </c>
    </row>
    <row r="22" spans="1:9" ht="18" customHeight="1">
      <c r="E22" s="41"/>
    </row>
    <row r="23" spans="1:9" ht="18" customHeight="1">
      <c r="A23" s="38" t="s">
        <v>42</v>
      </c>
    </row>
    <row r="24" spans="1:9" ht="18" customHeight="1">
      <c r="A24" s="1" t="s">
        <v>43</v>
      </c>
      <c r="D24" s="2" t="s">
        <v>35</v>
      </c>
      <c r="E24" s="47">
        <f>+E13*22.5/12</f>
        <v>862.5</v>
      </c>
      <c r="F24" s="47">
        <f>+F13*22.5/12</f>
        <v>862.5</v>
      </c>
      <c r="G24" s="2" t="s">
        <v>35</v>
      </c>
      <c r="H24" s="39">
        <f>+H13*22.5/12</f>
        <v>862.5</v>
      </c>
      <c r="I24" s="39">
        <v>862.5</v>
      </c>
    </row>
    <row r="25" spans="1:9" ht="18" customHeight="1">
      <c r="A25" s="1" t="s">
        <v>44</v>
      </c>
      <c r="E25" s="47">
        <v>1062.5</v>
      </c>
      <c r="F25" s="47">
        <v>1062.5</v>
      </c>
      <c r="G25" s="40"/>
      <c r="H25" s="47">
        <v>1700</v>
      </c>
      <c r="I25" s="47">
        <v>1700</v>
      </c>
    </row>
    <row r="26" spans="1:9" ht="18" customHeight="1">
      <c r="A26" s="1" t="s">
        <v>45</v>
      </c>
      <c r="E26" s="47">
        <v>0</v>
      </c>
      <c r="F26" s="47">
        <v>0</v>
      </c>
      <c r="G26" s="40"/>
      <c r="H26" s="47">
        <v>0</v>
      </c>
      <c r="I26" s="47">
        <v>0</v>
      </c>
    </row>
    <row r="27" spans="1:9" ht="18" customHeight="1">
      <c r="A27" s="1" t="s">
        <v>46</v>
      </c>
      <c r="E27" s="47">
        <f>(E15*0.045)/2</f>
        <v>269.962425</v>
      </c>
      <c r="F27" s="47">
        <f>(F15*0.045)/2</f>
        <v>269.962425</v>
      </c>
      <c r="G27" s="40"/>
      <c r="H27" s="39">
        <f>ROUND((H15*0.045/2),2)</f>
        <v>269.95999999999998</v>
      </c>
      <c r="I27" s="39">
        <v>269.95999999999998</v>
      </c>
    </row>
    <row r="28" spans="1:9" ht="18" customHeight="1">
      <c r="A28" s="1" t="s">
        <v>47</v>
      </c>
      <c r="E28" s="47">
        <v>10</v>
      </c>
      <c r="F28" s="47">
        <v>10</v>
      </c>
      <c r="G28" s="40"/>
      <c r="H28" s="39">
        <v>30</v>
      </c>
      <c r="I28" s="39">
        <v>30</v>
      </c>
    </row>
    <row r="29" spans="1:9" ht="18" customHeight="1">
      <c r="A29" s="1" t="s">
        <v>48</v>
      </c>
      <c r="E29" s="48">
        <v>100</v>
      </c>
      <c r="F29" s="48">
        <v>100</v>
      </c>
      <c r="G29" s="44"/>
      <c r="H29" s="43">
        <v>100</v>
      </c>
      <c r="I29" s="43">
        <v>100</v>
      </c>
    </row>
    <row r="30" spans="1:9" ht="18" customHeight="1">
      <c r="E30" s="49">
        <f>SUM(E24:E29)</f>
        <v>2304.9624250000002</v>
      </c>
      <c r="F30" s="49">
        <f>SUM(F24:F29)</f>
        <v>2304.9624250000002</v>
      </c>
      <c r="G30" s="46"/>
      <c r="H30" s="41">
        <f>SUM(H24:H29)</f>
        <v>2962.46</v>
      </c>
      <c r="I30" s="41">
        <f>SUM(I24:I29)</f>
        <v>2962.46</v>
      </c>
    </row>
    <row r="31" spans="1:9" ht="18" customHeight="1"/>
    <row r="32" spans="1:9" ht="18" customHeight="1">
      <c r="E32" s="38"/>
      <c r="F32" s="38"/>
      <c r="G32" s="37"/>
    </row>
    <row r="33" spans="1:9" ht="18" customHeight="1">
      <c r="A33" s="38" t="s">
        <v>49</v>
      </c>
      <c r="D33" s="2" t="s">
        <v>35</v>
      </c>
      <c r="E33" s="50">
        <f>+E21+E30</f>
        <v>15760.929091666665</v>
      </c>
      <c r="F33" s="50">
        <f>+F21+F30</f>
        <v>16160.873424999998</v>
      </c>
      <c r="G33" s="2" t="s">
        <v>35</v>
      </c>
      <c r="H33" s="50">
        <f>+H30+H21</f>
        <v>24213.701666666664</v>
      </c>
      <c r="I33" s="50">
        <f>+I30+I21</f>
        <v>24213.701666666664</v>
      </c>
    </row>
    <row r="34" spans="1:9" ht="18" customHeight="1"/>
    <row r="35" spans="1:9" ht="18" customHeight="1">
      <c r="A35" s="38" t="s">
        <v>50</v>
      </c>
    </row>
    <row r="36" spans="1:9" ht="15.75" customHeight="1">
      <c r="A36" s="99" t="s">
        <v>51</v>
      </c>
      <c r="B36" s="99"/>
      <c r="C36" s="36"/>
      <c r="E36" s="51">
        <f>+E33*0.24</f>
        <v>3782.6229819999994</v>
      </c>
      <c r="F36" s="51">
        <f>+F33*24%</f>
        <v>3878.6096219999995</v>
      </c>
      <c r="G36" s="52"/>
      <c r="H36" s="50">
        <f>H33*C36</f>
        <v>0</v>
      </c>
      <c r="I36" s="50">
        <f>I33*C36</f>
        <v>0</v>
      </c>
    </row>
    <row r="37" spans="1:9" ht="18" customHeight="1">
      <c r="E37" s="38"/>
      <c r="F37" s="38"/>
      <c r="G37" s="37"/>
      <c r="H37" s="38"/>
      <c r="I37" s="38"/>
    </row>
    <row r="38" spans="1:9" ht="18" customHeight="1">
      <c r="A38" s="38" t="s">
        <v>52</v>
      </c>
      <c r="E38" s="51">
        <f>+E36*0.12</f>
        <v>453.91475783999994</v>
      </c>
      <c r="F38" s="51">
        <f>+F36*0.12</f>
        <v>465.43315463999994</v>
      </c>
      <c r="G38" s="52"/>
      <c r="H38" s="51">
        <f>+H36*0.12</f>
        <v>0</v>
      </c>
      <c r="I38" s="51">
        <f>+I36*0.12</f>
        <v>0</v>
      </c>
    </row>
    <row r="39" spans="1:9" ht="18" customHeight="1"/>
    <row r="40" spans="1:9" ht="18" customHeight="1" thickBot="1">
      <c r="A40" s="38" t="s">
        <v>53</v>
      </c>
      <c r="D40" s="2" t="s">
        <v>35</v>
      </c>
      <c r="E40" s="53">
        <f>+E33+E36+E38</f>
        <v>19997.466831506666</v>
      </c>
      <c r="F40" s="53">
        <f>+F33+F36+F38</f>
        <v>20504.916201639997</v>
      </c>
      <c r="G40" s="2" t="s">
        <v>35</v>
      </c>
      <c r="H40" s="54">
        <f>H33+H36+H38</f>
        <v>24213.701666666664</v>
      </c>
      <c r="I40" s="54">
        <f>I33+I36+I38</f>
        <v>24213.701666666664</v>
      </c>
    </row>
    <row r="41" spans="1:9" ht="18" customHeight="1" thickTop="1"/>
    <row r="42" spans="1:9" ht="18" hidden="1" customHeight="1"/>
    <row r="43" spans="1:9" hidden="1">
      <c r="E43" s="39"/>
      <c r="F43" s="39"/>
      <c r="G43" s="40"/>
    </row>
    <row r="44" spans="1:9" hidden="1">
      <c r="B44" s="1" t="s">
        <v>55</v>
      </c>
      <c r="E44" s="41"/>
      <c r="F44" s="41"/>
      <c r="G44" s="46"/>
      <c r="H44" s="1" t="s">
        <v>56</v>
      </c>
    </row>
    <row r="45" spans="1:9" hidden="1"/>
    <row r="46" spans="1:9" hidden="1">
      <c r="B46" s="1" t="s">
        <v>57</v>
      </c>
      <c r="C46" s="46">
        <f>E13/8</f>
        <v>57.5</v>
      </c>
      <c r="H46" s="1" t="s">
        <v>57</v>
      </c>
      <c r="I46" s="46">
        <f>H13/8</f>
        <v>57.5</v>
      </c>
    </row>
    <row r="47" spans="1:9" hidden="1">
      <c r="A47" s="2">
        <v>295</v>
      </c>
      <c r="B47" s="1" t="s">
        <v>58</v>
      </c>
      <c r="E47" s="39">
        <f>ROUND((C46*1.25*295*4),2)</f>
        <v>84812.5</v>
      </c>
      <c r="H47" s="1" t="s">
        <v>59</v>
      </c>
      <c r="I47" s="55">
        <f>ROUND((I46*1.375*A47*4),2)</f>
        <v>93293.75</v>
      </c>
    </row>
    <row r="48" spans="1:9" hidden="1">
      <c r="A48" s="2">
        <v>12</v>
      </c>
      <c r="B48" s="1" t="s">
        <v>60</v>
      </c>
      <c r="E48" s="39">
        <f>ROUND((C46*2.6*12*4),2)</f>
        <v>7176</v>
      </c>
      <c r="H48" s="1" t="s">
        <v>61</v>
      </c>
      <c r="I48" s="55">
        <f>ROUND((I46*2.86*A48*4),2)</f>
        <v>7893.6</v>
      </c>
    </row>
    <row r="49" spans="1:9" hidden="1">
      <c r="A49" s="2">
        <v>4</v>
      </c>
      <c r="B49" s="1" t="s">
        <v>62</v>
      </c>
      <c r="E49" s="39">
        <f>ROUND((C46*1.69*4*4),2)</f>
        <v>1554.8</v>
      </c>
      <c r="H49" s="1" t="s">
        <v>63</v>
      </c>
      <c r="I49" s="45">
        <f>ROUND((I46*1.859*A49*4),2)</f>
        <v>1710.28</v>
      </c>
    </row>
    <row r="50" spans="1:9" hidden="1">
      <c r="E50" s="56">
        <f>SUM(E47:E49)</f>
        <v>93543.3</v>
      </c>
      <c r="I50" s="55">
        <f>SUM(I47:I49)</f>
        <v>102897.63</v>
      </c>
    </row>
    <row r="51" spans="1:9" hidden="1">
      <c r="B51" s="1" t="s">
        <v>64</v>
      </c>
      <c r="E51" s="57">
        <v>12</v>
      </c>
      <c r="H51" s="1" t="s">
        <v>65</v>
      </c>
      <c r="I51" s="57">
        <v>12</v>
      </c>
    </row>
    <row r="52" spans="1:9" ht="16.5" hidden="1" thickBot="1">
      <c r="B52" s="1" t="s">
        <v>66</v>
      </c>
      <c r="E52" s="53">
        <f>E50/E51</f>
        <v>7795.2750000000005</v>
      </c>
      <c r="H52" s="1" t="s">
        <v>67</v>
      </c>
      <c r="I52" s="58">
        <f>I50/I51</f>
        <v>8574.8024999999998</v>
      </c>
    </row>
    <row r="53" spans="1:9" ht="16.5" hidden="1" thickTop="1">
      <c r="E53" s="41"/>
    </row>
    <row r="54" spans="1:9" hidden="1">
      <c r="B54" s="38" t="s">
        <v>68</v>
      </c>
      <c r="E54" s="41"/>
      <c r="H54" s="38"/>
    </row>
    <row r="55" spans="1:9" ht="15" hidden="1" customHeight="1">
      <c r="B55" s="1" t="s">
        <v>69</v>
      </c>
    </row>
    <row r="56" spans="1:9" hidden="1">
      <c r="B56" s="1" t="s">
        <v>70</v>
      </c>
    </row>
    <row r="57" spans="1:9" hidden="1"/>
    <row r="58" spans="1:9" ht="16.5" hidden="1" thickBot="1">
      <c r="B58" s="1" t="s">
        <v>71</v>
      </c>
      <c r="E58" s="59">
        <f>E21-E17</f>
        <v>12289.996666666666</v>
      </c>
      <c r="F58" s="59">
        <f t="shared" ref="F58:G58" si="0">F21-F17</f>
        <v>12689.940999999999</v>
      </c>
      <c r="G58" s="60">
        <f t="shared" si="0"/>
        <v>0</v>
      </c>
      <c r="H58" s="59">
        <f>H21-H17</f>
        <v>20085.271666666664</v>
      </c>
      <c r="I58" s="59">
        <f>I21-I17</f>
        <v>20085.271666666664</v>
      </c>
    </row>
    <row r="59" spans="1:9" ht="16.5" hidden="1" thickTop="1"/>
    <row r="60" spans="1:9" hidden="1"/>
    <row r="61" spans="1:9">
      <c r="A61" s="38" t="s">
        <v>81</v>
      </c>
    </row>
    <row r="63" spans="1:9">
      <c r="A63" s="1" t="s">
        <v>72</v>
      </c>
      <c r="H63" s="62">
        <v>4</v>
      </c>
      <c r="I63" s="62">
        <v>1</v>
      </c>
    </row>
    <row r="64" spans="1:9">
      <c r="H64" s="63"/>
      <c r="I64" s="63"/>
    </row>
    <row r="65" spans="1:9">
      <c r="A65" s="1" t="s">
        <v>73</v>
      </c>
      <c r="H65" s="63">
        <f>H63*H40</f>
        <v>96854.806666666656</v>
      </c>
      <c r="I65" s="63">
        <f>I63*I40</f>
        <v>24213.701666666664</v>
      </c>
    </row>
    <row r="67" spans="1:9" ht="16.5" thickBot="1">
      <c r="A67" s="1" t="s">
        <v>86</v>
      </c>
      <c r="H67" s="64">
        <f>H65*12</f>
        <v>1162257.68</v>
      </c>
      <c r="I67" s="64">
        <f>I65*12</f>
        <v>290564.42</v>
      </c>
    </row>
    <row r="68" spans="1:9" ht="16.5" thickTop="1">
      <c r="A68" s="16"/>
      <c r="B68" s="16"/>
      <c r="C68" s="16"/>
      <c r="D68" s="31"/>
      <c r="E68" s="16"/>
      <c r="F68" s="16"/>
      <c r="G68" s="31"/>
      <c r="H68" s="16"/>
      <c r="I68" s="16"/>
    </row>
    <row r="69" spans="1:9">
      <c r="A69" s="16"/>
      <c r="B69" s="16"/>
      <c r="C69" s="16"/>
      <c r="D69" s="31"/>
      <c r="E69" s="16"/>
      <c r="F69" s="16"/>
      <c r="G69" s="31"/>
      <c r="H69" s="16"/>
      <c r="I69" s="16"/>
    </row>
  </sheetData>
  <sheetProtection algorithmName="SHA-512" hashValue="4rd5XrZrxrX45FdLvgZcqDShNWMbMSgTJjSL4UWrKAsK/IG49N/KrX0ik1Mc1Z1iCudSuCgVeFBgQDc8YHoR+A==" saltValue="HFrAMBWYBWsg9JF2ps6tiA==" spinCount="100000" sheet="1" objects="1" scenarios="1"/>
  <mergeCells count="6">
    <mergeCell ref="A36:B36"/>
    <mergeCell ref="A2:I2"/>
    <mergeCell ref="A3:I3"/>
    <mergeCell ref="A4:I4"/>
    <mergeCell ref="E6:F6"/>
    <mergeCell ref="H6:I6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5FCC-11A9-4FCA-9AA7-1C18D7157612}">
  <dimension ref="A1:J67"/>
  <sheetViews>
    <sheetView topLeftCell="A13" zoomScale="82" zoomScaleNormal="82" workbookViewId="0">
      <selection activeCell="C36" sqref="C36"/>
    </sheetView>
  </sheetViews>
  <sheetFormatPr defaultColWidth="9.140625" defaultRowHeight="15.75"/>
  <cols>
    <col min="1" max="1" width="4.7109375" style="1" customWidth="1"/>
    <col min="2" max="2" width="53.5703125" style="1" customWidth="1"/>
    <col min="3" max="3" width="7.5703125" style="1" customWidth="1"/>
    <col min="4" max="4" width="3.28515625" style="2" customWidth="1"/>
    <col min="5" max="5" width="18.140625" style="1" customWidth="1"/>
    <col min="6" max="6" width="18" style="1" customWidth="1"/>
    <col min="7" max="7" width="2.5703125" style="2" hidden="1" customWidth="1"/>
    <col min="8" max="8" width="20.42578125" style="1" hidden="1" customWidth="1"/>
    <col min="9" max="9" width="18.28515625" style="1" hidden="1" customWidth="1"/>
    <col min="10" max="10" width="18" style="1" customWidth="1"/>
    <col min="11" max="16384" width="9.140625" style="1"/>
  </cols>
  <sheetData>
    <row r="1" spans="1:10">
      <c r="A1" s="16"/>
      <c r="B1" s="16"/>
      <c r="C1" s="16"/>
      <c r="D1" s="31"/>
      <c r="E1" s="16"/>
      <c r="F1" s="16"/>
      <c r="G1" s="31"/>
      <c r="H1" s="16"/>
      <c r="I1" s="16"/>
      <c r="J1" s="16"/>
    </row>
    <row r="2" spans="1:10">
      <c r="A2" s="100" t="s">
        <v>87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>
      <c r="A3" s="101" t="s">
        <v>88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>
      <c r="A4" s="101" t="s">
        <v>89</v>
      </c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H5" s="1" t="s">
        <v>79</v>
      </c>
    </row>
    <row r="6" spans="1:10" ht="18" customHeight="1">
      <c r="E6" s="100" t="s">
        <v>90</v>
      </c>
      <c r="F6" s="100"/>
      <c r="G6" s="1"/>
      <c r="H6" s="100" t="s">
        <v>91</v>
      </c>
      <c r="I6" s="100"/>
    </row>
    <row r="7" spans="1:10" ht="18" customHeight="1">
      <c r="A7" s="1" t="s">
        <v>25</v>
      </c>
      <c r="E7" s="2" t="s">
        <v>26</v>
      </c>
      <c r="F7" s="2" t="s">
        <v>26</v>
      </c>
      <c r="H7" s="2" t="s">
        <v>26</v>
      </c>
      <c r="I7" s="2" t="s">
        <v>26</v>
      </c>
      <c r="J7" s="2" t="s">
        <v>26</v>
      </c>
    </row>
    <row r="8" spans="1:10" ht="18" customHeight="1">
      <c r="A8" s="1" t="s">
        <v>27</v>
      </c>
      <c r="E8" s="2">
        <v>313</v>
      </c>
      <c r="F8" s="2">
        <v>313</v>
      </c>
      <c r="H8" s="2">
        <v>313</v>
      </c>
      <c r="I8" s="2">
        <v>313</v>
      </c>
      <c r="J8" s="2">
        <v>313</v>
      </c>
    </row>
    <row r="9" spans="1:10" ht="18" customHeight="1">
      <c r="E9" s="2" t="s">
        <v>28</v>
      </c>
      <c r="F9" s="2" t="s">
        <v>28</v>
      </c>
      <c r="H9" s="2" t="s">
        <v>29</v>
      </c>
      <c r="I9" s="2" t="s">
        <v>29</v>
      </c>
      <c r="J9" s="2" t="s">
        <v>28</v>
      </c>
    </row>
    <row r="10" spans="1:10" ht="18" customHeight="1">
      <c r="E10" s="2" t="s">
        <v>30</v>
      </c>
      <c r="F10" s="2" t="s">
        <v>31</v>
      </c>
      <c r="H10" s="2" t="s">
        <v>30</v>
      </c>
      <c r="I10" s="2" t="s">
        <v>31</v>
      </c>
      <c r="J10" s="2" t="s">
        <v>32</v>
      </c>
    </row>
    <row r="11" spans="1:10" ht="18" customHeight="1"/>
    <row r="12" spans="1:10" ht="18" customHeight="1">
      <c r="A12" s="38" t="s">
        <v>33</v>
      </c>
    </row>
    <row r="13" spans="1:10" ht="18" customHeight="1">
      <c r="A13" s="1" t="s">
        <v>34</v>
      </c>
      <c r="D13" s="2" t="s">
        <v>35</v>
      </c>
      <c r="E13" s="39">
        <v>429</v>
      </c>
      <c r="F13" s="39">
        <v>429</v>
      </c>
      <c r="G13" s="2" t="s">
        <v>35</v>
      </c>
      <c r="H13" s="39">
        <v>429</v>
      </c>
      <c r="I13" s="39">
        <v>429</v>
      </c>
      <c r="J13" s="39">
        <v>429</v>
      </c>
    </row>
    <row r="14" spans="1:10" ht="18" customHeight="1"/>
    <row r="15" spans="1:10">
      <c r="A15" s="1" t="s">
        <v>36</v>
      </c>
      <c r="E15" s="39">
        <f>ROUND((E13*E8/12),2)</f>
        <v>11189.75</v>
      </c>
      <c r="F15" s="39">
        <f>ROUND((F13*F8/12),2)</f>
        <v>11189.75</v>
      </c>
      <c r="G15" s="40"/>
      <c r="H15" s="39">
        <f>ROUND((H13*H8/12),2)</f>
        <v>11189.75</v>
      </c>
      <c r="I15" s="39">
        <f>ROUND((I13*I8/12),2)</f>
        <v>11189.75</v>
      </c>
      <c r="J15" s="39">
        <f>ROUND((J13*J8/12),2)</f>
        <v>11189.75</v>
      </c>
    </row>
    <row r="16" spans="1:10" ht="19.5" customHeight="1">
      <c r="A16" s="1" t="s">
        <v>37</v>
      </c>
      <c r="E16" s="39">
        <v>0</v>
      </c>
      <c r="F16" s="39">
        <f>F15*10%*1/3</f>
        <v>372.99166666666673</v>
      </c>
      <c r="G16" s="40"/>
      <c r="H16" s="39">
        <v>0</v>
      </c>
      <c r="I16" s="39">
        <f>+I15*10%*1/2</f>
        <v>559.48750000000007</v>
      </c>
      <c r="J16" s="39">
        <f>J15*10%*1/3</f>
        <v>372.99166666666673</v>
      </c>
    </row>
    <row r="17" spans="1:10" ht="18" customHeight="1">
      <c r="A17" s="1" t="s">
        <v>38</v>
      </c>
      <c r="E17" s="39">
        <f>ROUND((E13*365/12/12),2)</f>
        <v>1087.4000000000001</v>
      </c>
      <c r="F17" s="39">
        <f>ROUND((F13*365/12/12),2)</f>
        <v>1087.4000000000001</v>
      </c>
      <c r="G17" s="40"/>
      <c r="H17" s="39">
        <f>ROUND((H13*365/12/12),2)</f>
        <v>1087.4000000000001</v>
      </c>
      <c r="I17" s="39">
        <f>ROUND((I13*365/12/12),2)</f>
        <v>1087.4000000000001</v>
      </c>
      <c r="J17" s="39">
        <f>ROUND((J13*365/12/12),2)</f>
        <v>1087.4000000000001</v>
      </c>
    </row>
    <row r="18" spans="1:10" ht="18" customHeight="1">
      <c r="A18" s="1" t="s">
        <v>39</v>
      </c>
      <c r="E18" s="39">
        <f>+E13*(5/12)</f>
        <v>178.75</v>
      </c>
      <c r="F18" s="39">
        <f>+F13*(5/12)</f>
        <v>178.75</v>
      </c>
      <c r="G18" s="40"/>
      <c r="H18" s="41">
        <f>H13*(5/12)</f>
        <v>178.75</v>
      </c>
      <c r="I18" s="41">
        <f>I13*(5/12)</f>
        <v>178.75</v>
      </c>
      <c r="J18" s="39">
        <f>+J13*(5/12)</f>
        <v>178.75</v>
      </c>
    </row>
    <row r="19" spans="1:10" ht="18" customHeight="1">
      <c r="A19" s="1" t="s">
        <v>40</v>
      </c>
      <c r="E19" s="39">
        <v>100</v>
      </c>
      <c r="F19" s="39">
        <v>100</v>
      </c>
      <c r="G19" s="40"/>
      <c r="H19" s="42">
        <v>100</v>
      </c>
      <c r="I19" s="39">
        <v>100</v>
      </c>
      <c r="J19" s="39">
        <v>100</v>
      </c>
    </row>
    <row r="20" spans="1:10" ht="21" customHeight="1">
      <c r="A20" s="1" t="s">
        <v>41</v>
      </c>
      <c r="E20" s="43">
        <v>0</v>
      </c>
      <c r="F20" s="43">
        <f>0*377/12</f>
        <v>0</v>
      </c>
      <c r="G20" s="44"/>
      <c r="H20" s="45">
        <f>+E52</f>
        <v>7269.9416666666666</v>
      </c>
      <c r="I20" s="45">
        <f>+I52</f>
        <v>7996.9350000000004</v>
      </c>
      <c r="J20" s="43">
        <f>0*377/12</f>
        <v>0</v>
      </c>
    </row>
    <row r="21" spans="1:10" ht="18" customHeight="1">
      <c r="E21" s="41">
        <f>SUM(E15:E20)</f>
        <v>12555.9</v>
      </c>
      <c r="F21" s="41">
        <f>SUM(F15:F20)</f>
        <v>12928.891666666666</v>
      </c>
      <c r="G21" s="46"/>
      <c r="H21" s="41">
        <f>SUM(H15:H20)</f>
        <v>19825.841666666667</v>
      </c>
      <c r="I21" s="41">
        <f>SUM(I15:I20)</f>
        <v>21112.322499999998</v>
      </c>
      <c r="J21" s="41">
        <f>SUM(J15:J20)</f>
        <v>12928.891666666666</v>
      </c>
    </row>
    <row r="22" spans="1:10" ht="18" customHeight="1">
      <c r="E22" s="41"/>
      <c r="H22" s="41"/>
      <c r="I22" s="41"/>
    </row>
    <row r="23" spans="1:10" ht="18" customHeight="1">
      <c r="A23" s="38" t="s">
        <v>42</v>
      </c>
      <c r="E23" s="41"/>
      <c r="F23" s="41"/>
      <c r="G23" s="41">
        <f t="shared" ref="G23" si="0">G21-G17</f>
        <v>0</v>
      </c>
      <c r="H23" s="41"/>
      <c r="I23" s="41"/>
      <c r="J23" s="41"/>
    </row>
    <row r="24" spans="1:10" ht="18" customHeight="1">
      <c r="A24" s="1" t="s">
        <v>92</v>
      </c>
      <c r="D24" s="2" t="s">
        <v>35</v>
      </c>
      <c r="E24" s="47">
        <f>+E13*22.5/12</f>
        <v>804.375</v>
      </c>
      <c r="F24" s="47">
        <f>+F13*22.5/12</f>
        <v>804.375</v>
      </c>
      <c r="G24" s="2" t="s">
        <v>35</v>
      </c>
      <c r="H24" s="39">
        <f>+H13*22.5/12</f>
        <v>804.375</v>
      </c>
      <c r="I24" s="39">
        <f>+I13*22.5/12</f>
        <v>804.375</v>
      </c>
      <c r="J24" s="47">
        <f>+J13*22.5/12</f>
        <v>804.375</v>
      </c>
    </row>
    <row r="25" spans="1:10" ht="18" customHeight="1">
      <c r="A25" s="1" t="s">
        <v>44</v>
      </c>
      <c r="E25" s="47">
        <v>977.5</v>
      </c>
      <c r="F25" s="47">
        <v>1020</v>
      </c>
      <c r="G25" s="40"/>
      <c r="H25" s="47">
        <v>1572.5</v>
      </c>
      <c r="I25" s="47">
        <v>1700</v>
      </c>
      <c r="J25" s="47">
        <v>1020</v>
      </c>
    </row>
    <row r="26" spans="1:10" ht="18" customHeight="1">
      <c r="A26" s="1" t="s">
        <v>45</v>
      </c>
      <c r="E26" s="47">
        <v>0</v>
      </c>
      <c r="F26" s="47">
        <v>0</v>
      </c>
      <c r="G26" s="40"/>
      <c r="H26" s="47">
        <v>0</v>
      </c>
      <c r="I26" s="47">
        <v>0</v>
      </c>
      <c r="J26" s="47">
        <v>0</v>
      </c>
    </row>
    <row r="27" spans="1:10" ht="18" customHeight="1">
      <c r="A27" s="1" t="s">
        <v>93</v>
      </c>
      <c r="E27" s="47">
        <f>(E15*0.045)/2</f>
        <v>251.769375</v>
      </c>
      <c r="F27" s="47">
        <f>(F15*0.045)/2</f>
        <v>251.769375</v>
      </c>
      <c r="G27" s="40"/>
      <c r="H27" s="39">
        <f>ROUND((H15*0.045/2),2)</f>
        <v>251.77</v>
      </c>
      <c r="I27" s="39">
        <f>ROUND((I15*0.045/2),2)</f>
        <v>251.77</v>
      </c>
      <c r="J27" s="47">
        <f>(J15*0.045)/2</f>
        <v>251.769375</v>
      </c>
    </row>
    <row r="28" spans="1:10" ht="18" customHeight="1">
      <c r="A28" s="1" t="s">
        <v>47</v>
      </c>
      <c r="E28" s="47">
        <v>10</v>
      </c>
      <c r="F28" s="47">
        <v>10</v>
      </c>
      <c r="G28" s="40"/>
      <c r="H28" s="39">
        <v>30</v>
      </c>
      <c r="I28" s="39">
        <v>30</v>
      </c>
      <c r="J28" s="47">
        <v>10</v>
      </c>
    </row>
    <row r="29" spans="1:10" ht="18" customHeight="1">
      <c r="A29" s="1" t="s">
        <v>48</v>
      </c>
      <c r="E29" s="48">
        <v>100</v>
      </c>
      <c r="F29" s="48">
        <v>100</v>
      </c>
      <c r="G29" s="44"/>
      <c r="H29" s="43">
        <v>100</v>
      </c>
      <c r="I29" s="43">
        <v>100</v>
      </c>
      <c r="J29" s="48">
        <v>100</v>
      </c>
    </row>
    <row r="30" spans="1:10" ht="18" customHeight="1">
      <c r="E30" s="49">
        <f>SUM(E24:E29)</f>
        <v>2143.6443749999999</v>
      </c>
      <c r="F30" s="49">
        <f>SUM(F24:F29)</f>
        <v>2186.1443749999999</v>
      </c>
      <c r="G30" s="46"/>
      <c r="H30" s="41">
        <f>SUM(H24:H29)</f>
        <v>2758.645</v>
      </c>
      <c r="I30" s="41">
        <f>SUM(I24:I29)</f>
        <v>2886.145</v>
      </c>
      <c r="J30" s="49">
        <f>SUM(J24:J29)</f>
        <v>2186.1443749999999</v>
      </c>
    </row>
    <row r="31" spans="1:10" ht="18" customHeight="1"/>
    <row r="32" spans="1:10" ht="18" customHeight="1">
      <c r="E32" s="38"/>
      <c r="F32" s="38"/>
      <c r="G32" s="37"/>
      <c r="J32" s="38"/>
    </row>
    <row r="33" spans="1:10" ht="18" customHeight="1">
      <c r="A33" s="38" t="s">
        <v>49</v>
      </c>
      <c r="D33" s="2" t="s">
        <v>35</v>
      </c>
      <c r="E33" s="50">
        <f>+E21+E30</f>
        <v>14699.544374999999</v>
      </c>
      <c r="F33" s="50">
        <f>+F21+F30</f>
        <v>15115.036041666666</v>
      </c>
      <c r="G33" s="2" t="s">
        <v>35</v>
      </c>
      <c r="H33" s="50">
        <f>+H30+H21</f>
        <v>22584.486666666668</v>
      </c>
      <c r="I33" s="50">
        <f>+I30+I21</f>
        <v>23998.467499999999</v>
      </c>
      <c r="J33" s="50">
        <f>+J21+J30</f>
        <v>15115.036041666666</v>
      </c>
    </row>
    <row r="34" spans="1:10" ht="18" customHeight="1"/>
    <row r="35" spans="1:10" ht="18" customHeight="1">
      <c r="A35" s="38" t="s">
        <v>50</v>
      </c>
    </row>
    <row r="36" spans="1:10" ht="15.75" customHeight="1">
      <c r="A36" s="102" t="s">
        <v>51</v>
      </c>
      <c r="B36" s="102"/>
      <c r="C36" s="36"/>
      <c r="E36" s="51">
        <f>E33*C36</f>
        <v>0</v>
      </c>
      <c r="F36" s="51">
        <f>F33*C36</f>
        <v>0</v>
      </c>
      <c r="G36" s="52"/>
      <c r="H36" s="50">
        <f>H33*0.24</f>
        <v>5420.2767999999996</v>
      </c>
      <c r="I36" s="50">
        <f>I33*0.24</f>
        <v>5759.6321999999991</v>
      </c>
      <c r="J36" s="51">
        <f>J33*C36</f>
        <v>0</v>
      </c>
    </row>
    <row r="37" spans="1:10" ht="18" customHeight="1">
      <c r="E37" s="38"/>
      <c r="F37" s="38"/>
      <c r="G37" s="37"/>
      <c r="H37" s="38"/>
      <c r="I37" s="38"/>
      <c r="J37" s="38"/>
    </row>
    <row r="38" spans="1:10" ht="18" customHeight="1">
      <c r="A38" s="38" t="s">
        <v>52</v>
      </c>
      <c r="E38" s="51">
        <f>+E36*0.12</f>
        <v>0</v>
      </c>
      <c r="F38" s="51">
        <f>+F36*0.12</f>
        <v>0</v>
      </c>
      <c r="G38" s="52"/>
      <c r="H38" s="51">
        <f>+H36*0.12</f>
        <v>650.4332159999999</v>
      </c>
      <c r="I38" s="51">
        <f>+I36*0.12</f>
        <v>691.15586399999984</v>
      </c>
      <c r="J38" s="51">
        <f>+J36*0.12</f>
        <v>0</v>
      </c>
    </row>
    <row r="39" spans="1:10" ht="18" customHeight="1"/>
    <row r="40" spans="1:10" ht="18" customHeight="1" thickBot="1">
      <c r="A40" s="38" t="s">
        <v>53</v>
      </c>
      <c r="D40" s="2" t="s">
        <v>35</v>
      </c>
      <c r="E40" s="53">
        <f>+E33+E36+E38</f>
        <v>14699.544374999999</v>
      </c>
      <c r="F40" s="53">
        <f>+F33+F36+F38</f>
        <v>15115.036041666666</v>
      </c>
      <c r="G40" s="2" t="s">
        <v>35</v>
      </c>
      <c r="H40" s="54">
        <f>H33+H36+H38</f>
        <v>28655.196682666668</v>
      </c>
      <c r="I40" s="54">
        <f>I33+I36+I38</f>
        <v>30449.255563999999</v>
      </c>
      <c r="J40" s="53">
        <f>+J33+J36+J38</f>
        <v>15115.036041666666</v>
      </c>
    </row>
    <row r="41" spans="1:10" ht="18" customHeight="1" thickTop="1"/>
    <row r="42" spans="1:10" ht="18" hidden="1" customHeight="1"/>
    <row r="43" spans="1:10" hidden="1">
      <c r="E43" s="39"/>
      <c r="F43" s="39"/>
      <c r="G43" s="40"/>
      <c r="J43" s="39"/>
    </row>
    <row r="44" spans="1:10" hidden="1">
      <c r="B44" s="1" t="s">
        <v>55</v>
      </c>
      <c r="E44" s="41"/>
      <c r="F44" s="41"/>
      <c r="G44" s="46"/>
      <c r="H44" s="1" t="s">
        <v>56</v>
      </c>
      <c r="J44" s="41"/>
    </row>
    <row r="45" spans="1:10" hidden="1"/>
    <row r="46" spans="1:10" hidden="1">
      <c r="B46" s="1" t="s">
        <v>57</v>
      </c>
      <c r="C46" s="46">
        <f>E13/8</f>
        <v>53.625</v>
      </c>
      <c r="H46" s="1" t="s">
        <v>57</v>
      </c>
      <c r="I46" s="46">
        <f>H13/8</f>
        <v>53.625</v>
      </c>
    </row>
    <row r="47" spans="1:10" hidden="1">
      <c r="A47" s="2">
        <v>295</v>
      </c>
      <c r="B47" s="1" t="s">
        <v>58</v>
      </c>
      <c r="E47" s="39">
        <f>ROUND((C46*1.25*295*4),2)</f>
        <v>79096.88</v>
      </c>
      <c r="H47" s="1" t="s">
        <v>59</v>
      </c>
      <c r="I47" s="55">
        <f>ROUND((I46*1.375*A47*4),2)</f>
        <v>87006.56</v>
      </c>
    </row>
    <row r="48" spans="1:10" hidden="1">
      <c r="A48" s="2">
        <v>12</v>
      </c>
      <c r="B48" s="1" t="s">
        <v>60</v>
      </c>
      <c r="E48" s="39">
        <f>ROUND((C46*2.6*12*4),2)</f>
        <v>6692.4</v>
      </c>
      <c r="H48" s="1" t="s">
        <v>61</v>
      </c>
      <c r="I48" s="55">
        <f>ROUND((I46*2.86*A48*4),2)</f>
        <v>7361.64</v>
      </c>
    </row>
    <row r="49" spans="1:10" hidden="1">
      <c r="A49" s="2">
        <v>4</v>
      </c>
      <c r="B49" s="1" t="s">
        <v>62</v>
      </c>
      <c r="E49" s="39">
        <f>ROUND((C46*1.69*4*4),2)</f>
        <v>1450.02</v>
      </c>
      <c r="H49" s="1" t="s">
        <v>63</v>
      </c>
      <c r="I49" s="45">
        <f>ROUND((I46*1.859*A49*4),2)</f>
        <v>1595.02</v>
      </c>
    </row>
    <row r="50" spans="1:10" hidden="1">
      <c r="E50" s="56">
        <f>SUM(E47:E49)</f>
        <v>87239.3</v>
      </c>
      <c r="I50" s="55">
        <f>SUM(I47:I49)</f>
        <v>95963.22</v>
      </c>
    </row>
    <row r="51" spans="1:10" hidden="1">
      <c r="B51" s="1" t="s">
        <v>64</v>
      </c>
      <c r="E51" s="57">
        <v>12</v>
      </c>
      <c r="H51" s="1" t="s">
        <v>65</v>
      </c>
      <c r="I51" s="57">
        <v>12</v>
      </c>
    </row>
    <row r="52" spans="1:10" ht="16.5" hidden="1" thickBot="1">
      <c r="B52" s="1" t="s">
        <v>66</v>
      </c>
      <c r="E52" s="53">
        <f>E50/E51</f>
        <v>7269.9416666666666</v>
      </c>
      <c r="H52" s="1" t="s">
        <v>67</v>
      </c>
      <c r="I52" s="58">
        <f>I50/I51</f>
        <v>7996.9350000000004</v>
      </c>
    </row>
    <row r="53" spans="1:10" hidden="1">
      <c r="E53" s="41"/>
    </row>
    <row r="54" spans="1:10" hidden="1">
      <c r="B54" s="38" t="s">
        <v>68</v>
      </c>
      <c r="E54" s="41"/>
      <c r="H54" s="38"/>
    </row>
    <row r="55" spans="1:10" ht="15" hidden="1" customHeight="1">
      <c r="B55" s="1" t="s">
        <v>69</v>
      </c>
    </row>
    <row r="56" spans="1:10" hidden="1">
      <c r="B56" s="1" t="s">
        <v>70</v>
      </c>
    </row>
    <row r="57" spans="1:10" hidden="1"/>
    <row r="58" spans="1:10" ht="16.5" hidden="1" thickBot="1">
      <c r="B58" s="1" t="s">
        <v>71</v>
      </c>
      <c r="E58" s="59">
        <f>E21-E17</f>
        <v>11468.5</v>
      </c>
      <c r="F58" s="59">
        <f>F21-F17</f>
        <v>11841.491666666667</v>
      </c>
      <c r="G58" s="60">
        <f t="shared" ref="G58" si="1">G21-G17</f>
        <v>0</v>
      </c>
      <c r="H58" s="59">
        <f>H21-H17</f>
        <v>18738.441666666666</v>
      </c>
      <c r="I58" s="59">
        <f>I21-I17</f>
        <v>20024.922499999997</v>
      </c>
      <c r="J58" s="59">
        <f>J21-J17</f>
        <v>11841.491666666667</v>
      </c>
    </row>
    <row r="59" spans="1:10" hidden="1"/>
    <row r="60" spans="1:10">
      <c r="A60" s="38" t="s">
        <v>94</v>
      </c>
    </row>
    <row r="62" spans="1:10">
      <c r="A62" s="1" t="s">
        <v>72</v>
      </c>
      <c r="E62" s="62">
        <v>2</v>
      </c>
      <c r="F62" s="62">
        <v>1</v>
      </c>
      <c r="H62" s="62">
        <v>4</v>
      </c>
      <c r="I62" s="62">
        <v>1</v>
      </c>
      <c r="J62" s="62">
        <v>1</v>
      </c>
    </row>
    <row r="63" spans="1:10">
      <c r="E63" s="63"/>
      <c r="F63" s="63"/>
      <c r="H63" s="63"/>
      <c r="I63" s="63"/>
      <c r="J63" s="63"/>
    </row>
    <row r="64" spans="1:10">
      <c r="A64" s="1" t="s">
        <v>73</v>
      </c>
      <c r="E64" s="63">
        <f>E62*E40</f>
        <v>29399.088749999999</v>
      </c>
      <c r="F64" s="63">
        <f>F62*F40</f>
        <v>15115.036041666666</v>
      </c>
      <c r="H64" s="63">
        <f>H62*H39</f>
        <v>0</v>
      </c>
      <c r="I64" s="63">
        <f>I62*I39</f>
        <v>0</v>
      </c>
      <c r="J64" s="63">
        <f>J62*J40</f>
        <v>15115.036041666666</v>
      </c>
    </row>
    <row r="66" spans="1:10" ht="16.5" thickBot="1">
      <c r="A66" s="1" t="s">
        <v>95</v>
      </c>
      <c r="E66" s="64">
        <f>E64*12</f>
        <v>352789.065</v>
      </c>
      <c r="F66" s="64">
        <f>F64*12</f>
        <v>181380.4325</v>
      </c>
      <c r="H66" s="64">
        <f>H64*12</f>
        <v>0</v>
      </c>
      <c r="I66" s="64">
        <f>I64*12</f>
        <v>0</v>
      </c>
      <c r="J66" s="64">
        <f>J64*12</f>
        <v>181380.4325</v>
      </c>
    </row>
    <row r="67" spans="1:10" ht="16.5" thickTop="1"/>
  </sheetData>
  <sheetProtection algorithmName="SHA-512" hashValue="rt8c+uUEG46WTqV8pGHFjSkb7UtRT/mRAZgGrxv7Q9eTS4y32nUGYMwtqFXwF6Oa5JYPq4TcJGkHF/FfPFj+KA==" saltValue="O+/qIEnODZk1dHetFQJJHg==" spinCount="100000" sheet="1" objects="1" scenarios="1"/>
  <mergeCells count="6">
    <mergeCell ref="E6:F6"/>
    <mergeCell ref="H6:I6"/>
    <mergeCell ref="A36:B36"/>
    <mergeCell ref="A2:J2"/>
    <mergeCell ref="A3:J3"/>
    <mergeCell ref="A4:J4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45EF-8BA2-4E4A-B2A7-08B240591526}">
  <dimension ref="A2:J67"/>
  <sheetViews>
    <sheetView tabSelected="1" topLeftCell="A9" zoomScale="82" zoomScaleNormal="82" workbookViewId="0">
      <selection activeCell="C36" sqref="C36"/>
    </sheetView>
  </sheetViews>
  <sheetFormatPr defaultColWidth="9.140625" defaultRowHeight="15.75"/>
  <cols>
    <col min="1" max="1" width="4.7109375" style="1" customWidth="1"/>
    <col min="2" max="2" width="53.28515625" style="1" customWidth="1"/>
    <col min="3" max="3" width="7.7109375" style="1" customWidth="1"/>
    <col min="4" max="4" width="3.28515625" style="2" customWidth="1"/>
    <col min="5" max="5" width="18.140625" style="1" customWidth="1"/>
    <col min="6" max="6" width="18" style="1" customWidth="1"/>
    <col min="7" max="7" width="2.5703125" style="2" hidden="1" customWidth="1"/>
    <col min="8" max="8" width="20.42578125" style="1" hidden="1" customWidth="1"/>
    <col min="9" max="9" width="18.28515625" style="1" hidden="1" customWidth="1"/>
    <col min="10" max="10" width="18" style="1" customWidth="1"/>
    <col min="11" max="16384" width="9.140625" style="1"/>
  </cols>
  <sheetData>
    <row r="2" spans="1:10">
      <c r="A2" s="100" t="s">
        <v>87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>
      <c r="A3" s="101" t="s">
        <v>88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>
      <c r="A4" s="101" t="s">
        <v>89</v>
      </c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H5" s="1" t="s">
        <v>79</v>
      </c>
    </row>
    <row r="6" spans="1:10" ht="18" customHeight="1">
      <c r="E6" s="100" t="s">
        <v>90</v>
      </c>
      <c r="F6" s="100"/>
      <c r="G6" s="1"/>
      <c r="H6" s="100" t="s">
        <v>91</v>
      </c>
      <c r="I6" s="100"/>
    </row>
    <row r="7" spans="1:10" ht="18" customHeight="1">
      <c r="A7" s="1" t="s">
        <v>25</v>
      </c>
      <c r="E7" s="2" t="s">
        <v>26</v>
      </c>
      <c r="F7" s="2" t="s">
        <v>26</v>
      </c>
      <c r="H7" s="2" t="s">
        <v>26</v>
      </c>
      <c r="I7" s="2" t="s">
        <v>26</v>
      </c>
      <c r="J7" s="2" t="s">
        <v>26</v>
      </c>
    </row>
    <row r="8" spans="1:10" ht="18" customHeight="1">
      <c r="A8" s="1" t="s">
        <v>27</v>
      </c>
      <c r="E8" s="2">
        <v>313</v>
      </c>
      <c r="F8" s="2">
        <v>313</v>
      </c>
      <c r="H8" s="2">
        <v>313</v>
      </c>
      <c r="I8" s="2">
        <v>313</v>
      </c>
      <c r="J8" s="2">
        <v>313</v>
      </c>
    </row>
    <row r="9" spans="1:10" ht="18" customHeight="1">
      <c r="E9" s="2" t="s">
        <v>28</v>
      </c>
      <c r="F9" s="2" t="s">
        <v>28</v>
      </c>
      <c r="H9" s="2" t="s">
        <v>29</v>
      </c>
      <c r="I9" s="2" t="s">
        <v>29</v>
      </c>
      <c r="J9" s="2" t="s">
        <v>28</v>
      </c>
    </row>
    <row r="10" spans="1:10" ht="18" customHeight="1">
      <c r="E10" s="2" t="s">
        <v>30</v>
      </c>
      <c r="F10" s="2" t="s">
        <v>31</v>
      </c>
      <c r="H10" s="2" t="s">
        <v>30</v>
      </c>
      <c r="I10" s="2" t="s">
        <v>31</v>
      </c>
      <c r="J10" s="2" t="s">
        <v>31</v>
      </c>
    </row>
    <row r="11" spans="1:10" ht="18" customHeight="1"/>
    <row r="12" spans="1:10" ht="18" customHeight="1">
      <c r="A12" s="38" t="s">
        <v>33</v>
      </c>
    </row>
    <row r="13" spans="1:10" ht="18" customHeight="1">
      <c r="A13" s="1" t="s">
        <v>34</v>
      </c>
      <c r="D13" s="2" t="s">
        <v>35</v>
      </c>
      <c r="E13" s="39">
        <v>429</v>
      </c>
      <c r="F13" s="39">
        <v>429</v>
      </c>
      <c r="G13" s="2" t="s">
        <v>35</v>
      </c>
      <c r="H13" s="39">
        <v>429</v>
      </c>
      <c r="I13" s="39">
        <v>429</v>
      </c>
      <c r="J13" s="39">
        <v>429</v>
      </c>
    </row>
    <row r="14" spans="1:10" ht="18" customHeight="1"/>
    <row r="15" spans="1:10">
      <c r="A15" s="1" t="s">
        <v>36</v>
      </c>
      <c r="E15" s="39">
        <f>ROUND((E13*E8/12),2)</f>
        <v>11189.75</v>
      </c>
      <c r="F15" s="39">
        <f>ROUND((F13*F8/12),2)</f>
        <v>11189.75</v>
      </c>
      <c r="G15" s="40"/>
      <c r="H15" s="39">
        <f>ROUND((H13*H8/12),2)</f>
        <v>11189.75</v>
      </c>
      <c r="I15" s="39">
        <f>ROUND((I13*I8/12),2)</f>
        <v>11189.75</v>
      </c>
      <c r="J15" s="39">
        <f>ROUND((J13*J8/12),2)</f>
        <v>11189.75</v>
      </c>
    </row>
    <row r="16" spans="1:10" ht="19.5" customHeight="1">
      <c r="A16" s="1" t="s">
        <v>37</v>
      </c>
      <c r="E16" s="39">
        <v>0</v>
      </c>
      <c r="F16" s="39">
        <f>F15*10%*1/3</f>
        <v>372.99166666666673</v>
      </c>
      <c r="G16" s="40"/>
      <c r="H16" s="39">
        <v>0</v>
      </c>
      <c r="I16" s="39">
        <f>+I15*10%*1/2</f>
        <v>559.48750000000007</v>
      </c>
      <c r="J16" s="39">
        <f>J15*10%*1/3</f>
        <v>372.99166666666673</v>
      </c>
    </row>
    <row r="17" spans="1:10" ht="18" customHeight="1">
      <c r="A17" s="1" t="s">
        <v>38</v>
      </c>
      <c r="E17" s="39">
        <f>ROUND((E13*365/12/12),2)</f>
        <v>1087.4000000000001</v>
      </c>
      <c r="F17" s="39">
        <f>ROUND((F13*365/12/12),2)</f>
        <v>1087.4000000000001</v>
      </c>
      <c r="G17" s="40"/>
      <c r="H17" s="39">
        <f>ROUND((H13*365/12/12),2)</f>
        <v>1087.4000000000001</v>
      </c>
      <c r="I17" s="39">
        <f>ROUND((I13*365/12/12),2)</f>
        <v>1087.4000000000001</v>
      </c>
      <c r="J17" s="39">
        <f>ROUND((J13*365/12/12),2)</f>
        <v>1087.4000000000001</v>
      </c>
    </row>
    <row r="18" spans="1:10" ht="18" customHeight="1">
      <c r="A18" s="1" t="s">
        <v>39</v>
      </c>
      <c r="E18" s="39">
        <f>+E13*(5/12)</f>
        <v>178.75</v>
      </c>
      <c r="F18" s="39">
        <f>+F13*(5/12)</f>
        <v>178.75</v>
      </c>
      <c r="G18" s="40"/>
      <c r="H18" s="41">
        <f>H13*(5/12)</f>
        <v>178.75</v>
      </c>
      <c r="I18" s="41">
        <f>I13*(5/12)</f>
        <v>178.75</v>
      </c>
      <c r="J18" s="39">
        <f>+J13*(5/12)</f>
        <v>178.75</v>
      </c>
    </row>
    <row r="19" spans="1:10" ht="18" customHeight="1">
      <c r="A19" s="1" t="s">
        <v>40</v>
      </c>
      <c r="E19" s="39">
        <v>100</v>
      </c>
      <c r="F19" s="39">
        <v>100</v>
      </c>
      <c r="G19" s="40"/>
      <c r="H19" s="42">
        <v>100</v>
      </c>
      <c r="I19" s="39">
        <v>100</v>
      </c>
      <c r="J19" s="39">
        <v>100</v>
      </c>
    </row>
    <row r="20" spans="1:10" ht="21" customHeight="1">
      <c r="A20" s="1" t="s">
        <v>41</v>
      </c>
      <c r="E20" s="43">
        <v>0</v>
      </c>
      <c r="F20" s="43">
        <f>0*377/12</f>
        <v>0</v>
      </c>
      <c r="G20" s="44"/>
      <c r="H20" s="45">
        <f>+E52</f>
        <v>7269.9416666666666</v>
      </c>
      <c r="I20" s="45">
        <f>+I52</f>
        <v>7996.9350000000004</v>
      </c>
      <c r="J20" s="43">
        <f>0*377/12</f>
        <v>0</v>
      </c>
    </row>
    <row r="21" spans="1:10" ht="18" customHeight="1">
      <c r="E21" s="41">
        <f>SUM(E15:E20)</f>
        <v>12555.9</v>
      </c>
      <c r="F21" s="41">
        <f>SUM(F15:F20)</f>
        <v>12928.891666666666</v>
      </c>
      <c r="G21" s="46"/>
      <c r="H21" s="41">
        <f>SUM(H15:H20)</f>
        <v>19825.841666666667</v>
      </c>
      <c r="I21" s="41">
        <f>SUM(I15:I20)</f>
        <v>21112.322499999998</v>
      </c>
      <c r="J21" s="41">
        <f>SUM(J15:J20)</f>
        <v>12928.891666666666</v>
      </c>
    </row>
    <row r="22" spans="1:10" ht="18" customHeight="1">
      <c r="E22" s="41"/>
      <c r="H22" s="41"/>
      <c r="I22" s="41"/>
    </row>
    <row r="23" spans="1:10" ht="18" customHeight="1">
      <c r="A23" s="38" t="s">
        <v>42</v>
      </c>
      <c r="E23" s="41"/>
      <c r="F23" s="41"/>
      <c r="G23" s="41">
        <f t="shared" ref="G23" si="0">G21-G17</f>
        <v>0</v>
      </c>
      <c r="H23" s="41"/>
      <c r="I23" s="41"/>
      <c r="J23" s="41"/>
    </row>
    <row r="24" spans="1:10" ht="18" customHeight="1">
      <c r="A24" s="1" t="s">
        <v>92</v>
      </c>
      <c r="D24" s="2" t="s">
        <v>35</v>
      </c>
      <c r="E24" s="47">
        <f>+E13*22.5/12</f>
        <v>804.375</v>
      </c>
      <c r="F24" s="47">
        <f>+F13*22.5/12</f>
        <v>804.375</v>
      </c>
      <c r="G24" s="2" t="s">
        <v>35</v>
      </c>
      <c r="H24" s="39">
        <f>+H13*22.5/12</f>
        <v>804.375</v>
      </c>
      <c r="I24" s="39">
        <f>+I13*22.5/12</f>
        <v>804.375</v>
      </c>
      <c r="J24" s="47">
        <f>+J13*22.5/12</f>
        <v>804.375</v>
      </c>
    </row>
    <row r="25" spans="1:10" ht="18" customHeight="1">
      <c r="A25" s="1" t="s">
        <v>44</v>
      </c>
      <c r="E25" s="47">
        <v>977.5</v>
      </c>
      <c r="F25" s="47">
        <v>1020</v>
      </c>
      <c r="G25" s="40"/>
      <c r="H25" s="47">
        <v>1572.5</v>
      </c>
      <c r="I25" s="47">
        <v>1700</v>
      </c>
      <c r="J25" s="47">
        <v>1020</v>
      </c>
    </row>
    <row r="26" spans="1:10" ht="18" customHeight="1">
      <c r="A26" s="1" t="s">
        <v>45</v>
      </c>
      <c r="E26" s="47">
        <v>0</v>
      </c>
      <c r="F26" s="47">
        <v>0</v>
      </c>
      <c r="G26" s="40"/>
      <c r="H26" s="47">
        <v>0</v>
      </c>
      <c r="I26" s="47">
        <v>0</v>
      </c>
      <c r="J26" s="47">
        <v>0</v>
      </c>
    </row>
    <row r="27" spans="1:10" ht="18" customHeight="1">
      <c r="A27" s="1" t="s">
        <v>93</v>
      </c>
      <c r="E27" s="47">
        <f>(E15*0.045)/2</f>
        <v>251.769375</v>
      </c>
      <c r="F27" s="47">
        <f>(F15*0.045)/2</f>
        <v>251.769375</v>
      </c>
      <c r="G27" s="40"/>
      <c r="H27" s="39">
        <f>ROUND((H15*0.045/2),2)</f>
        <v>251.77</v>
      </c>
      <c r="I27" s="39">
        <f>ROUND((I15*0.045/2),2)</f>
        <v>251.77</v>
      </c>
      <c r="J27" s="47">
        <f>(J15*0.045)/2</f>
        <v>251.769375</v>
      </c>
    </row>
    <row r="28" spans="1:10" ht="18" customHeight="1">
      <c r="A28" s="1" t="s">
        <v>47</v>
      </c>
      <c r="E28" s="47">
        <v>10</v>
      </c>
      <c r="F28" s="47">
        <v>10</v>
      </c>
      <c r="G28" s="40"/>
      <c r="H28" s="39">
        <v>30</v>
      </c>
      <c r="I28" s="39">
        <v>30</v>
      </c>
      <c r="J28" s="47">
        <v>10</v>
      </c>
    </row>
    <row r="29" spans="1:10" ht="18" customHeight="1">
      <c r="A29" s="1" t="s">
        <v>48</v>
      </c>
      <c r="E29" s="48">
        <v>100</v>
      </c>
      <c r="F29" s="48">
        <v>100</v>
      </c>
      <c r="G29" s="44"/>
      <c r="H29" s="43">
        <v>100</v>
      </c>
      <c r="I29" s="43">
        <v>100</v>
      </c>
      <c r="J29" s="48">
        <v>100</v>
      </c>
    </row>
    <row r="30" spans="1:10" ht="18" customHeight="1">
      <c r="E30" s="49">
        <f>SUM(E24:E29)</f>
        <v>2143.6443749999999</v>
      </c>
      <c r="F30" s="49">
        <f>SUM(F24:F29)</f>
        <v>2186.1443749999999</v>
      </c>
      <c r="G30" s="46"/>
      <c r="H30" s="41">
        <f>SUM(H24:H29)</f>
        <v>2758.645</v>
      </c>
      <c r="I30" s="41">
        <f>SUM(I24:I29)</f>
        <v>2886.145</v>
      </c>
      <c r="J30" s="49">
        <f>SUM(J24:J29)</f>
        <v>2186.1443749999999</v>
      </c>
    </row>
    <row r="31" spans="1:10" ht="18" customHeight="1"/>
    <row r="32" spans="1:10" ht="18" customHeight="1">
      <c r="E32" s="38"/>
      <c r="F32" s="38"/>
      <c r="G32" s="37"/>
      <c r="J32" s="38"/>
    </row>
    <row r="33" spans="1:10" ht="18" customHeight="1">
      <c r="A33" s="38" t="s">
        <v>49</v>
      </c>
      <c r="D33" s="2" t="s">
        <v>35</v>
      </c>
      <c r="E33" s="50">
        <f>+E21+E30</f>
        <v>14699.544374999999</v>
      </c>
      <c r="F33" s="50">
        <f>+F21+F30</f>
        <v>15115.036041666666</v>
      </c>
      <c r="G33" s="2" t="s">
        <v>35</v>
      </c>
      <c r="H33" s="50">
        <f>+H30+H21</f>
        <v>22584.486666666668</v>
      </c>
      <c r="I33" s="50">
        <f>+I30+I21</f>
        <v>23998.467499999999</v>
      </c>
      <c r="J33" s="50">
        <f>+J21+J30</f>
        <v>15115.036041666666</v>
      </c>
    </row>
    <row r="34" spans="1:10" ht="18" customHeight="1"/>
    <row r="35" spans="1:10" ht="18" customHeight="1">
      <c r="A35" s="38" t="s">
        <v>50</v>
      </c>
      <c r="E35" s="87"/>
      <c r="F35" s="87"/>
      <c r="G35" s="88"/>
      <c r="H35" s="88"/>
      <c r="I35" s="88"/>
      <c r="J35" s="87"/>
    </row>
    <row r="36" spans="1:10" ht="15.75" customHeight="1">
      <c r="A36" s="102" t="s">
        <v>51</v>
      </c>
      <c r="B36" s="102"/>
      <c r="C36" s="36"/>
      <c r="E36" s="51">
        <f>E33*C36</f>
        <v>0</v>
      </c>
      <c r="F36" s="51">
        <f>F33*C36</f>
        <v>0</v>
      </c>
      <c r="G36" s="52"/>
      <c r="H36" s="50">
        <f>H33*0.24</f>
        <v>5420.2767999999996</v>
      </c>
      <c r="I36" s="50">
        <f>I33*0.24</f>
        <v>5759.6321999999991</v>
      </c>
      <c r="J36" s="51">
        <f>J33*C36</f>
        <v>0</v>
      </c>
    </row>
    <row r="37" spans="1:10" ht="18" customHeight="1">
      <c r="E37" s="38"/>
      <c r="F37" s="38"/>
      <c r="G37" s="37"/>
      <c r="H37" s="38"/>
      <c r="I37" s="38"/>
      <c r="J37" s="38"/>
    </row>
    <row r="38" spans="1:10" ht="18" customHeight="1">
      <c r="A38" s="38" t="s">
        <v>52</v>
      </c>
      <c r="E38" s="51">
        <f>+E36*0.12</f>
        <v>0</v>
      </c>
      <c r="F38" s="51">
        <f>+F36*0.12</f>
        <v>0</v>
      </c>
      <c r="G38" s="52"/>
      <c r="H38" s="51">
        <f>+H36*0.12</f>
        <v>650.4332159999999</v>
      </c>
      <c r="I38" s="51">
        <f>+I36*0.12</f>
        <v>691.15586399999984</v>
      </c>
      <c r="J38" s="51">
        <f>+J36*0.12</f>
        <v>0</v>
      </c>
    </row>
    <row r="39" spans="1:10" ht="18" customHeight="1"/>
    <row r="40" spans="1:10" ht="18" customHeight="1" thickBot="1">
      <c r="A40" s="38" t="s">
        <v>53</v>
      </c>
      <c r="D40" s="2" t="s">
        <v>35</v>
      </c>
      <c r="E40" s="53">
        <f>+E33+E36+E38</f>
        <v>14699.544374999999</v>
      </c>
      <c r="F40" s="53">
        <f>+F33+F36+F38</f>
        <v>15115.036041666666</v>
      </c>
      <c r="G40" s="2" t="s">
        <v>35</v>
      </c>
      <c r="H40" s="54">
        <f>H33+H36+H38</f>
        <v>28655.196682666668</v>
      </c>
      <c r="I40" s="54">
        <f>I33+I36+I38</f>
        <v>30449.255563999999</v>
      </c>
      <c r="J40" s="53">
        <f>+J33+J36+J38</f>
        <v>15115.036041666666</v>
      </c>
    </row>
    <row r="41" spans="1:10" ht="18" customHeight="1" thickTop="1"/>
    <row r="42" spans="1:10" ht="18" hidden="1" customHeight="1"/>
    <row r="43" spans="1:10" hidden="1">
      <c r="E43" s="39"/>
      <c r="F43" s="39"/>
      <c r="G43" s="40"/>
      <c r="J43" s="39"/>
    </row>
    <row r="44" spans="1:10" hidden="1">
      <c r="B44" s="1" t="s">
        <v>55</v>
      </c>
      <c r="E44" s="41"/>
      <c r="F44" s="41"/>
      <c r="G44" s="46"/>
      <c r="H44" s="1" t="s">
        <v>56</v>
      </c>
      <c r="J44" s="41"/>
    </row>
    <row r="45" spans="1:10" hidden="1"/>
    <row r="46" spans="1:10" hidden="1">
      <c r="B46" s="1" t="s">
        <v>57</v>
      </c>
      <c r="C46" s="46">
        <f>E13/8</f>
        <v>53.625</v>
      </c>
      <c r="H46" s="1" t="s">
        <v>57</v>
      </c>
      <c r="I46" s="46">
        <f>H13/8</f>
        <v>53.625</v>
      </c>
    </row>
    <row r="47" spans="1:10" hidden="1">
      <c r="A47" s="2">
        <v>295</v>
      </c>
      <c r="B47" s="1" t="s">
        <v>58</v>
      </c>
      <c r="E47" s="39">
        <f>ROUND((C46*1.25*295*4),2)</f>
        <v>79096.88</v>
      </c>
      <c r="H47" s="1" t="s">
        <v>59</v>
      </c>
      <c r="I47" s="55">
        <f>ROUND((I46*1.375*A47*4),2)</f>
        <v>87006.56</v>
      </c>
    </row>
    <row r="48" spans="1:10" hidden="1">
      <c r="A48" s="2">
        <v>12</v>
      </c>
      <c r="B48" s="1" t="s">
        <v>60</v>
      </c>
      <c r="E48" s="39">
        <f>ROUND((C46*2.6*12*4),2)</f>
        <v>6692.4</v>
      </c>
      <c r="H48" s="1" t="s">
        <v>61</v>
      </c>
      <c r="I48" s="55">
        <f>ROUND((I46*2.86*A48*4),2)</f>
        <v>7361.64</v>
      </c>
    </row>
    <row r="49" spans="1:10" hidden="1">
      <c r="A49" s="2">
        <v>4</v>
      </c>
      <c r="B49" s="1" t="s">
        <v>62</v>
      </c>
      <c r="E49" s="39">
        <f>ROUND((C46*1.69*4*4),2)</f>
        <v>1450.02</v>
      </c>
      <c r="H49" s="1" t="s">
        <v>63</v>
      </c>
      <c r="I49" s="45">
        <f>ROUND((I46*1.859*A49*4),2)</f>
        <v>1595.02</v>
      </c>
    </row>
    <row r="50" spans="1:10" hidden="1">
      <c r="E50" s="56">
        <f>SUM(E47:E49)</f>
        <v>87239.3</v>
      </c>
      <c r="I50" s="55">
        <f>SUM(I47:I49)</f>
        <v>95963.22</v>
      </c>
    </row>
    <row r="51" spans="1:10" hidden="1">
      <c r="B51" s="1" t="s">
        <v>64</v>
      </c>
      <c r="E51" s="57">
        <v>12</v>
      </c>
      <c r="H51" s="1" t="s">
        <v>65</v>
      </c>
      <c r="I51" s="57">
        <v>12</v>
      </c>
    </row>
    <row r="52" spans="1:10" ht="16.5" hidden="1" thickBot="1">
      <c r="B52" s="1" t="s">
        <v>66</v>
      </c>
      <c r="E52" s="53">
        <f>E50/E51</f>
        <v>7269.9416666666666</v>
      </c>
      <c r="H52" s="1" t="s">
        <v>67</v>
      </c>
      <c r="I52" s="58">
        <f>I50/I51</f>
        <v>7996.9350000000004</v>
      </c>
    </row>
    <row r="53" spans="1:10" hidden="1">
      <c r="E53" s="41"/>
    </row>
    <row r="54" spans="1:10" hidden="1">
      <c r="B54" s="38" t="s">
        <v>68</v>
      </c>
      <c r="E54" s="41"/>
      <c r="H54" s="38"/>
    </row>
    <row r="55" spans="1:10" ht="15" hidden="1" customHeight="1">
      <c r="B55" s="1" t="s">
        <v>69</v>
      </c>
    </row>
    <row r="56" spans="1:10" hidden="1">
      <c r="B56" s="1" t="s">
        <v>70</v>
      </c>
    </row>
    <row r="57" spans="1:10" hidden="1"/>
    <row r="58" spans="1:10" ht="16.5" hidden="1" thickBot="1">
      <c r="B58" s="1" t="s">
        <v>71</v>
      </c>
      <c r="E58" s="59">
        <f>E21-E17</f>
        <v>11468.5</v>
      </c>
      <c r="F58" s="59">
        <f>F21-F17</f>
        <v>11841.491666666667</v>
      </c>
      <c r="G58" s="60">
        <f t="shared" ref="G58" si="1">G21-G17</f>
        <v>0</v>
      </c>
      <c r="H58" s="59">
        <f>H21-H17</f>
        <v>18738.441666666666</v>
      </c>
      <c r="I58" s="59">
        <f>I21-I17</f>
        <v>20024.922499999997</v>
      </c>
      <c r="J58" s="59">
        <f>J21-J17</f>
        <v>11841.491666666667</v>
      </c>
    </row>
    <row r="59" spans="1:10" hidden="1"/>
    <row r="60" spans="1:10">
      <c r="A60" s="38" t="s">
        <v>94</v>
      </c>
    </row>
    <row r="62" spans="1:10">
      <c r="A62" s="1" t="s">
        <v>72</v>
      </c>
      <c r="E62" s="62">
        <v>2</v>
      </c>
      <c r="F62" s="62">
        <v>1</v>
      </c>
      <c r="H62" s="62">
        <v>4</v>
      </c>
      <c r="I62" s="62">
        <v>1</v>
      </c>
      <c r="J62" s="62">
        <v>1</v>
      </c>
    </row>
    <row r="63" spans="1:10">
      <c r="E63" s="63"/>
      <c r="F63" s="63"/>
      <c r="H63" s="63"/>
      <c r="I63" s="63"/>
      <c r="J63" s="63"/>
    </row>
    <row r="64" spans="1:10">
      <c r="A64" s="1" t="s">
        <v>73</v>
      </c>
      <c r="E64" s="63">
        <f>E62*E40</f>
        <v>29399.088749999999</v>
      </c>
      <c r="F64" s="63">
        <f>F62*F40</f>
        <v>15115.036041666666</v>
      </c>
      <c r="H64" s="63">
        <f>H62*H39</f>
        <v>0</v>
      </c>
      <c r="I64" s="63">
        <f>I62*I39</f>
        <v>0</v>
      </c>
      <c r="J64" s="63">
        <f>J62*J40</f>
        <v>15115.036041666666</v>
      </c>
    </row>
    <row r="66" spans="1:10" ht="16.5" thickBot="1">
      <c r="A66" s="1" t="s">
        <v>96</v>
      </c>
      <c r="E66" s="64">
        <f>E64*12</f>
        <v>352789.065</v>
      </c>
      <c r="F66" s="64">
        <f>F64*12</f>
        <v>181380.4325</v>
      </c>
      <c r="H66" s="64">
        <f>H64*12</f>
        <v>0</v>
      </c>
      <c r="I66" s="64">
        <f>I64*12</f>
        <v>0</v>
      </c>
      <c r="J66" s="64">
        <f>J64*12</f>
        <v>181380.4325</v>
      </c>
    </row>
    <row r="67" spans="1:10" ht="16.5" thickTop="1"/>
  </sheetData>
  <sheetProtection algorithmName="SHA-512" hashValue="5lYJ/aAbA6MVcE9XMW/KE2E8puvv6cmHZBX5nt5o2pir071ZYgM43PVzoojJlExcajXz3Dz4/Du03iwcOqI8Hg==" saltValue="qKBIeeDBoUqcari8Xskibg==" spinCount="100000" sheet="1" objects="1" scenarios="1"/>
  <mergeCells count="6">
    <mergeCell ref="A36:B36"/>
    <mergeCell ref="E6:F6"/>
    <mergeCell ref="H6:I6"/>
    <mergeCell ref="A2:J2"/>
    <mergeCell ref="A3:J3"/>
    <mergeCell ref="A4:J4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FF01E-2846-4471-937B-2F3300559175}">
  <sheetPr>
    <pageSetUpPr fitToPage="1"/>
  </sheetPr>
  <dimension ref="A1:K63"/>
  <sheetViews>
    <sheetView zoomScale="85" zoomScaleNormal="85" workbookViewId="0">
      <selection activeCell="E36" sqref="E36"/>
    </sheetView>
  </sheetViews>
  <sheetFormatPr defaultColWidth="8.85546875" defaultRowHeight="15"/>
  <cols>
    <col min="1" max="1" width="8.85546875" style="22"/>
    <col min="2" max="2" width="52.5703125" style="22" customWidth="1"/>
    <col min="3" max="3" width="14.140625" style="22" customWidth="1"/>
    <col min="4" max="4" width="13.28515625" style="22" customWidth="1"/>
    <col min="5" max="5" width="14.140625" style="22" customWidth="1"/>
    <col min="6" max="7" width="8.85546875" style="22"/>
    <col min="8" max="8" width="42.5703125" style="22" bestFit="1" customWidth="1"/>
    <col min="9" max="9" width="13.140625" style="22" customWidth="1"/>
    <col min="10" max="16384" width="8.85546875" style="22"/>
  </cols>
  <sheetData>
    <row r="1" spans="1:11">
      <c r="A1" s="21" t="s">
        <v>97</v>
      </c>
    </row>
    <row r="2" spans="1:11">
      <c r="A2" s="21" t="s">
        <v>123</v>
      </c>
      <c r="C2" s="85">
        <v>42000</v>
      </c>
    </row>
    <row r="5" spans="1:11">
      <c r="A5" s="22" t="s">
        <v>98</v>
      </c>
      <c r="C5" s="23"/>
      <c r="E5" s="89">
        <v>50000</v>
      </c>
      <c r="H5" s="21" t="s">
        <v>99</v>
      </c>
    </row>
    <row r="6" spans="1:11">
      <c r="A6" s="22" t="s">
        <v>100</v>
      </c>
      <c r="C6" s="23"/>
      <c r="D6" s="24"/>
      <c r="E6" s="67">
        <f>E5/12</f>
        <v>4166.666666666667</v>
      </c>
    </row>
    <row r="7" spans="1:11">
      <c r="A7" s="22" t="s">
        <v>101</v>
      </c>
      <c r="E7" s="68">
        <f>+E5+E6</f>
        <v>54166.666666666664</v>
      </c>
      <c r="H7" s="21" t="s">
        <v>102</v>
      </c>
      <c r="I7" s="68">
        <f>+E5</f>
        <v>50000</v>
      </c>
    </row>
    <row r="8" spans="1:11">
      <c r="H8" s="22" t="s">
        <v>103</v>
      </c>
    </row>
    <row r="9" spans="1:11">
      <c r="A9" s="21" t="s">
        <v>104</v>
      </c>
      <c r="C9" s="69" t="s">
        <v>105</v>
      </c>
      <c r="D9" s="69" t="s">
        <v>106</v>
      </c>
      <c r="H9" s="70" t="s">
        <v>107</v>
      </c>
      <c r="I9" s="67">
        <f>D16</f>
        <v>2350</v>
      </c>
      <c r="K9" s="22" t="s">
        <v>79</v>
      </c>
    </row>
    <row r="10" spans="1:11" ht="15.95" customHeight="1">
      <c r="A10" s="21"/>
      <c r="B10" s="22" t="s">
        <v>108</v>
      </c>
      <c r="C10" s="68">
        <f>570*(22.5/12)</f>
        <v>1068.75</v>
      </c>
      <c r="D10" s="25">
        <v>0</v>
      </c>
      <c r="H10" s="71" t="s">
        <v>109</v>
      </c>
      <c r="I10" s="72">
        <f>I7-I9</f>
        <v>47650</v>
      </c>
    </row>
    <row r="11" spans="1:11">
      <c r="B11" s="22" t="s">
        <v>110</v>
      </c>
      <c r="C11" s="68">
        <v>1700</v>
      </c>
      <c r="D11" s="25">
        <v>900</v>
      </c>
      <c r="H11" s="70" t="s">
        <v>111</v>
      </c>
      <c r="I11" s="26">
        <f>(I10-33333)*0.2+2500</f>
        <v>5363.4</v>
      </c>
    </row>
    <row r="12" spans="1:11" ht="15.75" thickBot="1">
      <c r="B12" s="22" t="s">
        <v>112</v>
      </c>
      <c r="C12" s="68">
        <v>425</v>
      </c>
      <c r="D12" s="25">
        <v>225</v>
      </c>
      <c r="H12" s="21" t="s">
        <v>113</v>
      </c>
      <c r="I12" s="73">
        <f>I10-I11</f>
        <v>42286.6</v>
      </c>
      <c r="J12" s="86"/>
    </row>
    <row r="13" spans="1:11" ht="15.75" thickTop="1">
      <c r="B13" s="22" t="s">
        <v>114</v>
      </c>
      <c r="C13" s="68">
        <f>E5*0.045/2</f>
        <v>1125</v>
      </c>
      <c r="D13" s="25">
        <f>C13</f>
        <v>1125</v>
      </c>
    </row>
    <row r="14" spans="1:11">
      <c r="B14" s="22" t="s">
        <v>47</v>
      </c>
      <c r="C14" s="68">
        <v>30</v>
      </c>
      <c r="D14" s="25">
        <v>0</v>
      </c>
      <c r="I14" s="68"/>
    </row>
    <row r="15" spans="1:11">
      <c r="B15" s="22" t="s">
        <v>48</v>
      </c>
      <c r="C15" s="67">
        <v>100</v>
      </c>
      <c r="D15" s="27">
        <v>100</v>
      </c>
      <c r="I15" s="68"/>
    </row>
    <row r="16" spans="1:11">
      <c r="C16" s="74">
        <f>SUM(C10:C15)</f>
        <v>4448.75</v>
      </c>
      <c r="D16" s="74">
        <f>SUM(D10:D15)</f>
        <v>2350</v>
      </c>
      <c r="E16" s="75">
        <f>C16</f>
        <v>4448.75</v>
      </c>
      <c r="I16" s="68"/>
    </row>
    <row r="18" spans="1:9">
      <c r="A18" s="21" t="s">
        <v>115</v>
      </c>
      <c r="D18" s="76"/>
      <c r="E18" s="77">
        <f>SUM(E7:E16)</f>
        <v>58615.416666666664</v>
      </c>
    </row>
    <row r="20" spans="1:9">
      <c r="A20" s="21" t="s">
        <v>50</v>
      </c>
    </row>
    <row r="21" spans="1:9">
      <c r="B21" s="22" t="s">
        <v>116</v>
      </c>
      <c r="C21" s="78"/>
      <c r="D21" s="66">
        <v>0.24</v>
      </c>
      <c r="E21" s="77">
        <f>E18*D21</f>
        <v>14067.699999999999</v>
      </c>
    </row>
    <row r="23" spans="1:9">
      <c r="A23" s="21" t="s">
        <v>117</v>
      </c>
      <c r="C23" s="78"/>
      <c r="D23" s="76"/>
      <c r="E23" s="79">
        <f>E21*0.12</f>
        <v>1688.1239999999998</v>
      </c>
    </row>
    <row r="25" spans="1:9" ht="15.75" thickBot="1">
      <c r="A25" s="21" t="s">
        <v>118</v>
      </c>
      <c r="C25" s="78"/>
      <c r="D25" s="78"/>
      <c r="E25" s="80">
        <f>E18+E21+E23</f>
        <v>74371.240666666665</v>
      </c>
    </row>
    <row r="26" spans="1:9" customFormat="1" ht="15.75" thickTop="1">
      <c r="A26" s="22"/>
      <c r="B26" s="22"/>
      <c r="C26" s="22"/>
      <c r="D26" s="22"/>
      <c r="E26" s="22"/>
      <c r="F26" s="22"/>
      <c r="I26" s="22"/>
    </row>
    <row r="27" spans="1:9" customFormat="1">
      <c r="A27" s="81" t="s">
        <v>119</v>
      </c>
      <c r="I27" s="22"/>
    </row>
    <row r="28" spans="1:9">
      <c r="A28" s="81"/>
      <c r="B28"/>
      <c r="C28"/>
      <c r="D28"/>
      <c r="E28"/>
      <c r="F28"/>
      <c r="G28"/>
      <c r="H28"/>
    </row>
    <row r="29" spans="1:9">
      <c r="A29" t="s">
        <v>120</v>
      </c>
      <c r="B29"/>
      <c r="C29"/>
      <c r="D29"/>
      <c r="E29" s="82">
        <v>1</v>
      </c>
      <c r="F29"/>
      <c r="G29"/>
      <c r="H29"/>
    </row>
    <row r="30" spans="1:9">
      <c r="A30"/>
      <c r="B30"/>
      <c r="C30"/>
      <c r="D30"/>
      <c r="E30"/>
      <c r="F30"/>
      <c r="G30"/>
      <c r="H30"/>
    </row>
    <row r="31" spans="1:9">
      <c r="A31" t="s">
        <v>121</v>
      </c>
      <c r="B31"/>
      <c r="C31"/>
      <c r="D31"/>
      <c r="E31" s="83">
        <f>+E25</f>
        <v>74371.240666666665</v>
      </c>
      <c r="F31"/>
      <c r="G31"/>
      <c r="H31"/>
    </row>
    <row r="32" spans="1:9">
      <c r="A32"/>
      <c r="B32"/>
      <c r="C32"/>
      <c r="D32"/>
      <c r="E32"/>
      <c r="F32"/>
      <c r="G32"/>
      <c r="H32"/>
    </row>
    <row r="33" spans="1:6" ht="15.75" thickBot="1">
      <c r="A33" t="s">
        <v>122</v>
      </c>
      <c r="B33"/>
      <c r="C33"/>
      <c r="D33"/>
      <c r="E33" s="84">
        <f>E31*12</f>
        <v>892454.88800000004</v>
      </c>
      <c r="F33"/>
    </row>
    <row r="34" spans="1:6" ht="15.75" thickTop="1">
      <c r="B34" s="21"/>
    </row>
    <row r="36" spans="1:6">
      <c r="B36" s="21"/>
    </row>
    <row r="37" spans="1:6">
      <c r="A37" s="28"/>
      <c r="D37" s="28"/>
      <c r="E37" s="28"/>
    </row>
    <row r="38" spans="1:6">
      <c r="D38" s="28"/>
      <c r="E38" s="28"/>
    </row>
    <row r="39" spans="1:6">
      <c r="D39" s="28"/>
      <c r="E39" s="28"/>
    </row>
    <row r="40" spans="1:6" ht="23.25" customHeight="1">
      <c r="D40" s="28"/>
      <c r="E40" s="28"/>
    </row>
    <row r="41" spans="1:6">
      <c r="D41" s="28"/>
      <c r="E41" s="28"/>
    </row>
    <row r="42" spans="1:6">
      <c r="D42" s="28"/>
      <c r="E42" s="28"/>
    </row>
    <row r="43" spans="1:6">
      <c r="C43" s="28"/>
      <c r="D43" s="28"/>
      <c r="E43" s="28"/>
    </row>
    <row r="44" spans="1:6">
      <c r="A44" s="28"/>
      <c r="B44" s="28"/>
      <c r="C44" s="28"/>
      <c r="D44" s="28"/>
      <c r="E44" s="28"/>
    </row>
    <row r="45" spans="1:6">
      <c r="A45" s="28"/>
      <c r="B45" s="28"/>
      <c r="C45" s="28"/>
      <c r="D45" s="28"/>
      <c r="E45" s="28"/>
    </row>
    <row r="46" spans="1:6">
      <c r="A46" s="28"/>
      <c r="B46" s="28"/>
      <c r="C46" s="28"/>
      <c r="D46" s="28"/>
      <c r="E46" s="28"/>
    </row>
    <row r="47" spans="1:6">
      <c r="A47" s="28"/>
      <c r="B47" s="28"/>
      <c r="C47" s="28"/>
      <c r="D47" s="28"/>
      <c r="E47" s="28"/>
    </row>
    <row r="48" spans="1:6">
      <c r="A48" s="28"/>
      <c r="B48" s="28"/>
      <c r="C48" s="28"/>
      <c r="D48" s="28"/>
      <c r="E48" s="28"/>
    </row>
    <row r="49" spans="1:5">
      <c r="A49" s="28"/>
      <c r="B49" s="28"/>
      <c r="C49" s="28"/>
      <c r="D49" s="28"/>
      <c r="E49" s="28"/>
    </row>
    <row r="50" spans="1:5">
      <c r="A50" s="28"/>
      <c r="B50" s="28"/>
      <c r="C50" s="28"/>
      <c r="D50" s="28"/>
      <c r="E50" s="28"/>
    </row>
    <row r="51" spans="1:5">
      <c r="A51" s="28"/>
      <c r="B51" s="28"/>
      <c r="C51" s="28"/>
      <c r="D51" s="28"/>
      <c r="E51" s="28"/>
    </row>
    <row r="52" spans="1:5">
      <c r="A52" s="28"/>
      <c r="B52" s="28"/>
      <c r="C52" s="28"/>
      <c r="D52" s="28"/>
      <c r="E52" s="28"/>
    </row>
    <row r="53" spans="1:5">
      <c r="A53" s="28"/>
      <c r="B53" s="28"/>
      <c r="C53" s="28"/>
      <c r="D53" s="28"/>
      <c r="E53" s="28"/>
    </row>
    <row r="54" spans="1:5">
      <c r="A54" s="28"/>
      <c r="B54" s="28"/>
      <c r="C54" s="28"/>
      <c r="D54" s="28"/>
      <c r="E54" s="28"/>
    </row>
    <row r="55" spans="1:5">
      <c r="A55" s="28"/>
      <c r="B55" s="28"/>
      <c r="C55" s="28"/>
      <c r="D55" s="28"/>
      <c r="E55" s="28"/>
    </row>
    <row r="56" spans="1:5">
      <c r="A56" s="28"/>
      <c r="B56" s="28"/>
      <c r="C56" s="28"/>
      <c r="D56" s="28"/>
      <c r="E56" s="28"/>
    </row>
    <row r="57" spans="1:5" ht="14.45" customHeight="1">
      <c r="A57" s="28"/>
      <c r="B57" s="28"/>
      <c r="C57" s="28"/>
      <c r="D57" s="28"/>
      <c r="E57" s="28"/>
    </row>
    <row r="58" spans="1:5">
      <c r="A58" s="28"/>
      <c r="B58" s="28"/>
      <c r="C58" s="28"/>
      <c r="D58" s="28"/>
      <c r="E58" s="28"/>
    </row>
    <row r="59" spans="1:5">
      <c r="A59" s="28"/>
      <c r="B59" s="28"/>
      <c r="C59" s="28"/>
      <c r="D59" s="28"/>
      <c r="E59" s="28"/>
    </row>
    <row r="60" spans="1:5">
      <c r="A60" s="28"/>
      <c r="B60" s="28"/>
      <c r="C60" s="28"/>
      <c r="D60" s="28"/>
      <c r="E60" s="28"/>
    </row>
    <row r="61" spans="1:5">
      <c r="A61" s="28"/>
      <c r="B61" s="28"/>
      <c r="C61" s="28"/>
      <c r="D61" s="28"/>
      <c r="E61" s="28"/>
    </row>
    <row r="62" spans="1:5">
      <c r="A62" s="28"/>
      <c r="B62" s="28"/>
      <c r="C62" s="28"/>
      <c r="D62" s="28"/>
      <c r="E62" s="28"/>
    </row>
    <row r="63" spans="1:5">
      <c r="A63" s="28"/>
      <c r="B63" s="28"/>
      <c r="C63" s="28"/>
      <c r="D63" s="28"/>
      <c r="E63" s="28"/>
    </row>
  </sheetData>
  <sheetProtection algorithmName="SHA-512" hashValue="f6nCh0d3QMPHCHL+uO7uvLjAzdDNCTyPxouo5Mr3Q8UrhKHM2mJVSRBWWi3BP3txdGPhxdYpb5yrNs0gp9TXWg==" saltValue="qntWE7Y9dbKz+u6tm7rl/Q==" spinCount="100000" sheet="1" objects="1" scenarios="1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SUM</vt:lpstr>
      <vt:lpstr>PMO</vt:lpstr>
      <vt:lpstr>Warehouse</vt:lpstr>
      <vt:lpstr>Norzagaray</vt:lpstr>
      <vt:lpstr>Hermosa</vt:lpstr>
      <vt:lpstr>Mariveles</vt:lpstr>
      <vt:lpstr>Angono</vt:lpstr>
      <vt:lpstr>Rosario</vt:lpstr>
      <vt:lpstr>AO</vt:lpstr>
      <vt:lpstr>Angono!Print_Area</vt:lpstr>
      <vt:lpstr>Hermosa!Print_Area</vt:lpstr>
      <vt:lpstr>Mariveles!Print_Area</vt:lpstr>
      <vt:lpstr>Norzagaray!Print_Area</vt:lpstr>
      <vt:lpstr>PMO!Print_Area</vt:lpstr>
      <vt:lpstr>Rosario!Print_Area</vt:lpstr>
      <vt:lpstr>Warehouse!Print_Area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Shara Valdeabella</dc:creator>
  <cp:keywords/>
  <dc:description/>
  <cp:lastModifiedBy>Noreen Antonio</cp:lastModifiedBy>
  <cp:revision/>
  <dcterms:created xsi:type="dcterms:W3CDTF">2022-09-08T07:38:08Z</dcterms:created>
  <dcterms:modified xsi:type="dcterms:W3CDTF">2022-10-18T09:14:57Z</dcterms:modified>
  <cp:category/>
  <cp:contentStatus/>
</cp:coreProperties>
</file>