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0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ofpmo-my.sharepoint.com/personal/mmnatividad_pmo_gov_ph/Documents/OTG-USB/2023/CSD/2024 Security Procurement/Security Services Budget for 2024/New Rate Budget for 2024/Bid Docs in parts/Financial/"/>
    </mc:Choice>
  </mc:AlternateContent>
  <xr:revisionPtr revIDLastSave="408" documentId="8_{F34C165F-333A-4CB6-BB3C-9DF7DB39395A}" xr6:coauthVersionLast="47" xr6:coauthVersionMax="47" xr10:uidLastSave="{B7ABCF22-D348-44F7-B2C5-1362A6C3D85F}"/>
  <bookViews>
    <workbookView xWindow="-120" yWindow="-120" windowWidth="29040" windowHeight="15840" firstSheet="9" xr2:uid="{E07B5F02-8B00-4EF6-A9AD-F6259093ED5D}"/>
  </bookViews>
  <sheets>
    <sheet name="SUMMARY" sheetId="27" r:id="rId1"/>
    <sheet name="NCR PMO" sheetId="2" r:id="rId2"/>
    <sheet name="NCR Warehouse" sheetId="4" r:id="rId3"/>
    <sheet name="Norzagaray" sheetId="6" r:id="rId4"/>
    <sheet name="Hermosa" sheetId="9" r:id="rId5"/>
    <sheet name="Mariveles" sheetId="8" r:id="rId6"/>
    <sheet name="Angono" sheetId="10" r:id="rId7"/>
    <sheet name="Rosario" sheetId="11" r:id="rId8"/>
    <sheet name="Toril" sheetId="18" state="hidden" r:id="rId9"/>
    <sheet name="AO" sheetId="30" r:id="rId10"/>
  </sheets>
  <definedNames>
    <definedName name="Excel_BuiltIn_Print_Area_2" localSheetId="9">#REF!</definedName>
    <definedName name="Excel_BuiltIn_Print_Area_2" localSheetId="8">#REF!</definedName>
    <definedName name="Excel_BuiltIn_Print_Area_2">#REF!</definedName>
    <definedName name="_xlnm.Print_Area" localSheetId="6">Angono!$A$1:$K$71</definedName>
    <definedName name="_xlnm.Print_Area" localSheetId="4">Hermosa!$A$1:$K$71</definedName>
    <definedName name="_xlnm.Print_Area" localSheetId="5">Mariveles!$A$1:$J$72</definedName>
    <definedName name="_xlnm.Print_Area" localSheetId="1">'NCR PMO'!$A$1:$K$70</definedName>
    <definedName name="_xlnm.Print_Area" localSheetId="2">'NCR Warehouse'!$A$1:$K$70</definedName>
    <definedName name="_xlnm.Print_Area" localSheetId="3">Norzagaray!$A$1:$K$70</definedName>
    <definedName name="_xlnm.Print_Area" localSheetId="7">Rosario!$A$1:$K$71</definedName>
    <definedName name="_xlnm.Print_Area" localSheetId="8">Toril!$A$1:$I$59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30" l="1"/>
  <c r="J7" i="30"/>
  <c r="K38" i="11"/>
  <c r="G38" i="11"/>
  <c r="F38" i="11"/>
  <c r="K38" i="10"/>
  <c r="G38" i="10"/>
  <c r="F38" i="10"/>
  <c r="I38" i="8"/>
  <c r="J38" i="8"/>
  <c r="K38" i="9"/>
  <c r="G38" i="9"/>
  <c r="F38" i="9"/>
  <c r="K38" i="6"/>
  <c r="G38" i="6"/>
  <c r="F38" i="6"/>
  <c r="K36" i="4"/>
  <c r="J36" i="4"/>
  <c r="I36" i="4"/>
  <c r="K36" i="2"/>
  <c r="J36" i="2"/>
  <c r="I36" i="2"/>
  <c r="E6" i="30" l="1"/>
  <c r="C13" i="30" l="1"/>
  <c r="I7" i="30"/>
  <c r="E7" i="30"/>
  <c r="E18" i="18"/>
  <c r="E17" i="18"/>
  <c r="E15" i="18"/>
  <c r="F17" i="18"/>
  <c r="F15" i="18"/>
  <c r="F16" i="18" s="1"/>
  <c r="F18" i="18"/>
  <c r="C16" i="30" l="1"/>
  <c r="E16" i="30" s="1"/>
  <c r="E18" i="30" s="1"/>
  <c r="E21" i="30" s="1"/>
  <c r="E23" i="30" s="1"/>
  <c r="D13" i="30"/>
  <c r="D16" i="30" s="1"/>
  <c r="I9" i="30" s="1"/>
  <c r="I10" i="30" s="1"/>
  <c r="I11" i="30" s="1"/>
  <c r="I12" i="30" s="1"/>
  <c r="F21" i="18"/>
  <c r="E25" i="30" l="1"/>
  <c r="E31" i="30" s="1"/>
  <c r="C13" i="27" s="1"/>
  <c r="I66" i="10" l="1"/>
  <c r="I68" i="10" s="1"/>
  <c r="J66" i="10"/>
  <c r="J68" i="10" s="1"/>
  <c r="H69" i="18" l="1"/>
  <c r="F27" i="18"/>
  <c r="E27" i="18"/>
  <c r="J49" i="18"/>
  <c r="J48" i="18"/>
  <c r="J47" i="18"/>
  <c r="E49" i="18"/>
  <c r="K24" i="4"/>
  <c r="J24" i="4"/>
  <c r="I24" i="4"/>
  <c r="G24" i="4"/>
  <c r="F24" i="4"/>
  <c r="K24" i="2"/>
  <c r="J24" i="2"/>
  <c r="I24" i="2"/>
  <c r="G24" i="2"/>
  <c r="F24" i="2"/>
  <c r="I49" i="18" l="1"/>
  <c r="I48" i="18"/>
  <c r="E48" i="18"/>
  <c r="J50" i="18"/>
  <c r="J52" i="18" s="1"/>
  <c r="J46" i="18"/>
  <c r="I46" i="18"/>
  <c r="I47" i="18" s="1"/>
  <c r="C46" i="18"/>
  <c r="E47" i="18" s="1"/>
  <c r="J24" i="18"/>
  <c r="I24" i="18"/>
  <c r="H24" i="18"/>
  <c r="F24" i="18"/>
  <c r="E24" i="18"/>
  <c r="E30" i="18" s="1"/>
  <c r="H21" i="18"/>
  <c r="H59" i="18" s="1"/>
  <c r="F59" i="18"/>
  <c r="E21" i="18"/>
  <c r="F20" i="18"/>
  <c r="J18" i="18"/>
  <c r="I18" i="18"/>
  <c r="H18" i="18"/>
  <c r="J17" i="18"/>
  <c r="I17" i="18"/>
  <c r="H17" i="18"/>
  <c r="J15" i="18"/>
  <c r="I15" i="18"/>
  <c r="H15" i="18"/>
  <c r="H27" i="18" s="1"/>
  <c r="E33" i="18" l="1"/>
  <c r="E36" i="18" s="1"/>
  <c r="E38" i="18" s="1"/>
  <c r="I50" i="18"/>
  <c r="I52" i="18" s="1"/>
  <c r="H30" i="18"/>
  <c r="H33" i="18" s="1"/>
  <c r="I21" i="18"/>
  <c r="F30" i="18"/>
  <c r="F33" i="18" s="1"/>
  <c r="I27" i="18"/>
  <c r="I30" i="18" s="1"/>
  <c r="I33" i="18" s="1"/>
  <c r="J27" i="18"/>
  <c r="J30" i="18" s="1"/>
  <c r="I16" i="18"/>
  <c r="J16" i="18"/>
  <c r="J21" i="18" s="1"/>
  <c r="E50" i="18"/>
  <c r="E52" i="18" s="1"/>
  <c r="E59" i="18"/>
  <c r="J59" i="18" l="1"/>
  <c r="I36" i="18"/>
  <c r="I38" i="18" s="1"/>
  <c r="I40" i="18"/>
  <c r="I65" i="18" s="1"/>
  <c r="I67" i="18" s="1"/>
  <c r="I59" i="18"/>
  <c r="E40" i="18"/>
  <c r="F36" i="18"/>
  <c r="F38" i="18" s="1"/>
  <c r="H36" i="18"/>
  <c r="H38" i="18" s="1"/>
  <c r="J33" i="18"/>
  <c r="H40" i="18" l="1"/>
  <c r="H65" i="18" s="1"/>
  <c r="H67" i="18" s="1"/>
  <c r="F40" i="18"/>
  <c r="J36" i="18"/>
  <c r="J38" i="18" s="1"/>
  <c r="J40" i="18" l="1"/>
  <c r="J65" i="18" s="1"/>
  <c r="J67" i="18" s="1"/>
  <c r="H29" i="11" l="1"/>
  <c r="H29" i="10"/>
  <c r="J29" i="8"/>
  <c r="H29" i="9"/>
  <c r="H29" i="6"/>
  <c r="K26" i="11" l="1"/>
  <c r="J26" i="11"/>
  <c r="I26" i="11"/>
  <c r="H26" i="11"/>
  <c r="G26" i="11"/>
  <c r="F26" i="11"/>
  <c r="K20" i="11"/>
  <c r="G20" i="11"/>
  <c r="F20" i="11"/>
  <c r="K26" i="10"/>
  <c r="G26" i="10"/>
  <c r="F26" i="10"/>
  <c r="K20" i="10"/>
  <c r="G20" i="10"/>
  <c r="F20" i="10"/>
  <c r="J32" i="8"/>
  <c r="I26" i="8"/>
  <c r="I20" i="8"/>
  <c r="K26" i="9"/>
  <c r="G26" i="9"/>
  <c r="F26" i="9"/>
  <c r="K20" i="9"/>
  <c r="G20" i="9"/>
  <c r="F20" i="9"/>
  <c r="K26" i="6"/>
  <c r="G26" i="6"/>
  <c r="F26" i="6"/>
  <c r="K20" i="6"/>
  <c r="G20" i="6"/>
  <c r="F20" i="6"/>
  <c r="K18" i="4" l="1"/>
  <c r="J18" i="4"/>
  <c r="I18" i="4"/>
  <c r="K18" i="2"/>
  <c r="J18" i="2"/>
  <c r="I18" i="2"/>
  <c r="K22" i="11"/>
  <c r="K19" i="11"/>
  <c r="K17" i="11"/>
  <c r="K22" i="10"/>
  <c r="K19" i="10"/>
  <c r="K17" i="10"/>
  <c r="K22" i="9"/>
  <c r="K19" i="9"/>
  <c r="K17" i="9"/>
  <c r="K22" i="6"/>
  <c r="K19" i="6"/>
  <c r="K17" i="6"/>
  <c r="K46" i="4"/>
  <c r="K17" i="4"/>
  <c r="K15" i="4"/>
  <c r="K27" i="4" s="1"/>
  <c r="K29" i="9" l="1"/>
  <c r="K32" i="9" s="1"/>
  <c r="K18" i="9"/>
  <c r="K23" i="9" s="1"/>
  <c r="K29" i="6"/>
  <c r="K32" i="6" s="1"/>
  <c r="K18" i="6"/>
  <c r="K23" i="6" s="1"/>
  <c r="K49" i="4"/>
  <c r="K48" i="4"/>
  <c r="K47" i="4"/>
  <c r="K50" i="4" s="1"/>
  <c r="K52" i="4" s="1"/>
  <c r="K20" i="4" s="1"/>
  <c r="K21" i="4" s="1"/>
  <c r="K29" i="11"/>
  <c r="K32" i="11" s="1"/>
  <c r="K18" i="11"/>
  <c r="K23" i="11" s="1"/>
  <c r="K29" i="10"/>
  <c r="K32" i="10" s="1"/>
  <c r="K18" i="10"/>
  <c r="K23" i="10" s="1"/>
  <c r="K16" i="4"/>
  <c r="K46" i="2"/>
  <c r="K49" i="2" s="1"/>
  <c r="K17" i="2"/>
  <c r="K15" i="2"/>
  <c r="K27" i="2" s="1"/>
  <c r="K35" i="9" l="1"/>
  <c r="K35" i="6"/>
  <c r="K35" i="11"/>
  <c r="K35" i="10"/>
  <c r="K47" i="2"/>
  <c r="K48" i="2"/>
  <c r="K59" i="4"/>
  <c r="K16" i="2"/>
  <c r="K60" i="11"/>
  <c r="K60" i="10"/>
  <c r="K60" i="9"/>
  <c r="K60" i="6"/>
  <c r="K40" i="9" l="1"/>
  <c r="K42" i="9" s="1"/>
  <c r="K66" i="9" s="1"/>
  <c r="K68" i="9" s="1"/>
  <c r="K40" i="6"/>
  <c r="K42" i="6" s="1"/>
  <c r="K65" i="6" s="1"/>
  <c r="K67" i="6" s="1"/>
  <c r="K40" i="11"/>
  <c r="K42" i="11" s="1"/>
  <c r="K40" i="10"/>
  <c r="K50" i="2"/>
  <c r="K52" i="2" s="1"/>
  <c r="K20" i="2" s="1"/>
  <c r="K21" i="2" s="1"/>
  <c r="K59" i="2" s="1"/>
  <c r="K66" i="11" l="1"/>
  <c r="K68" i="11" s="1"/>
  <c r="K42" i="10"/>
  <c r="J66" i="11"/>
  <c r="J68" i="11" s="1"/>
  <c r="I66" i="11"/>
  <c r="I68" i="11" s="1"/>
  <c r="H60" i="11"/>
  <c r="J48" i="11"/>
  <c r="J51" i="11" s="1"/>
  <c r="C48" i="11"/>
  <c r="I32" i="11"/>
  <c r="H25" i="11"/>
  <c r="G22" i="11"/>
  <c r="J20" i="11"/>
  <c r="I20" i="11"/>
  <c r="J19" i="11"/>
  <c r="I19" i="11"/>
  <c r="G19" i="11"/>
  <c r="F19" i="11"/>
  <c r="J17" i="11"/>
  <c r="J29" i="11" s="1"/>
  <c r="I17" i="11"/>
  <c r="I29" i="11" s="1"/>
  <c r="G17" i="11"/>
  <c r="F17" i="11"/>
  <c r="H60" i="10"/>
  <c r="J48" i="10"/>
  <c r="J50" i="10" s="1"/>
  <c r="C48" i="10"/>
  <c r="J26" i="10"/>
  <c r="I26" i="10"/>
  <c r="H25" i="10"/>
  <c r="G22" i="10"/>
  <c r="J20" i="10"/>
  <c r="I20" i="10"/>
  <c r="J19" i="10"/>
  <c r="I19" i="10"/>
  <c r="G19" i="10"/>
  <c r="F19" i="10"/>
  <c r="J17" i="10"/>
  <c r="J29" i="10" s="1"/>
  <c r="I17" i="10"/>
  <c r="I29" i="10" s="1"/>
  <c r="G17" i="10"/>
  <c r="F17" i="10"/>
  <c r="C48" i="8"/>
  <c r="H60" i="9"/>
  <c r="J48" i="9"/>
  <c r="J50" i="9" s="1"/>
  <c r="C48" i="9"/>
  <c r="J26" i="9"/>
  <c r="I26" i="9"/>
  <c r="G22" i="9"/>
  <c r="J20" i="9"/>
  <c r="I20" i="9"/>
  <c r="J19" i="9"/>
  <c r="I19" i="9"/>
  <c r="G19" i="9"/>
  <c r="F19" i="9"/>
  <c r="J17" i="9"/>
  <c r="I17" i="9"/>
  <c r="I29" i="9" s="1"/>
  <c r="G17" i="9"/>
  <c r="F17" i="9"/>
  <c r="C48" i="6"/>
  <c r="J48" i="6"/>
  <c r="J50" i="6" s="1"/>
  <c r="H60" i="6"/>
  <c r="H60" i="8"/>
  <c r="J51" i="8"/>
  <c r="J49" i="8"/>
  <c r="J48" i="8"/>
  <c r="J50" i="8" s="1"/>
  <c r="G26" i="8"/>
  <c r="F26" i="8"/>
  <c r="G22" i="8"/>
  <c r="G20" i="8"/>
  <c r="F20" i="8"/>
  <c r="I19" i="8"/>
  <c r="G19" i="8"/>
  <c r="F19" i="8"/>
  <c r="I17" i="8"/>
  <c r="I29" i="8" s="1"/>
  <c r="I32" i="8" s="1"/>
  <c r="G17" i="8"/>
  <c r="G29" i="8" s="1"/>
  <c r="F17" i="8"/>
  <c r="F29" i="8" s="1"/>
  <c r="J26" i="6"/>
  <c r="I26" i="6"/>
  <c r="G22" i="6"/>
  <c r="J20" i="6"/>
  <c r="I20" i="6"/>
  <c r="J19" i="6"/>
  <c r="I19" i="6"/>
  <c r="G19" i="6"/>
  <c r="F19" i="6"/>
  <c r="J17" i="6"/>
  <c r="I17" i="6"/>
  <c r="I29" i="6" s="1"/>
  <c r="G17" i="6"/>
  <c r="F17" i="6"/>
  <c r="F49" i="8" l="1"/>
  <c r="F50" i="8"/>
  <c r="F51" i="8"/>
  <c r="G18" i="8"/>
  <c r="F29" i="9"/>
  <c r="F32" i="9" s="1"/>
  <c r="F23" i="9"/>
  <c r="G29" i="9"/>
  <c r="G32" i="9" s="1"/>
  <c r="G18" i="9"/>
  <c r="G23" i="9" s="1"/>
  <c r="F49" i="9"/>
  <c r="F50" i="9"/>
  <c r="F51" i="9"/>
  <c r="J18" i="9"/>
  <c r="J29" i="9"/>
  <c r="J18" i="6"/>
  <c r="J29" i="6"/>
  <c r="F49" i="6"/>
  <c r="F50" i="6"/>
  <c r="F51" i="6"/>
  <c r="J49" i="6"/>
  <c r="J51" i="6"/>
  <c r="J52" i="6" s="1"/>
  <c r="J54" i="6" s="1"/>
  <c r="F29" i="6"/>
  <c r="F32" i="6" s="1"/>
  <c r="F23" i="6"/>
  <c r="F60" i="6" s="1"/>
  <c r="G29" i="6"/>
  <c r="G32" i="6" s="1"/>
  <c r="G18" i="6"/>
  <c r="G23" i="6" s="1"/>
  <c r="G60" i="6" s="1"/>
  <c r="G29" i="11"/>
  <c r="G32" i="11" s="1"/>
  <c r="G18" i="11"/>
  <c r="G23" i="11" s="1"/>
  <c r="F29" i="11"/>
  <c r="F32" i="11" s="1"/>
  <c r="F23" i="11"/>
  <c r="F49" i="11"/>
  <c r="F50" i="11"/>
  <c r="F52" i="11" s="1"/>
  <c r="F54" i="11" s="1"/>
  <c r="I22" i="11" s="1"/>
  <c r="I23" i="11" s="1"/>
  <c r="I60" i="11" s="1"/>
  <c r="F51" i="11"/>
  <c r="K66" i="10"/>
  <c r="K68" i="10" s="1"/>
  <c r="G29" i="10"/>
  <c r="G32" i="10" s="1"/>
  <c r="G18" i="10"/>
  <c r="G23" i="10" s="1"/>
  <c r="F49" i="10"/>
  <c r="F50" i="10"/>
  <c r="F51" i="10"/>
  <c r="F29" i="10"/>
  <c r="F32" i="10" s="1"/>
  <c r="F23" i="10"/>
  <c r="F60" i="10" s="1"/>
  <c r="J32" i="11"/>
  <c r="J50" i="11"/>
  <c r="J18" i="11"/>
  <c r="J49" i="11"/>
  <c r="I32" i="10"/>
  <c r="J32" i="10"/>
  <c r="J18" i="10"/>
  <c r="J49" i="10"/>
  <c r="J51" i="10"/>
  <c r="I32" i="9"/>
  <c r="J32" i="9"/>
  <c r="J49" i="9"/>
  <c r="J51" i="9"/>
  <c r="J52" i="8"/>
  <c r="J54" i="8" s="1"/>
  <c r="F32" i="8"/>
  <c r="G32" i="8"/>
  <c r="F23" i="8"/>
  <c r="G23" i="8"/>
  <c r="I32" i="6"/>
  <c r="J32" i="6"/>
  <c r="F35" i="6" l="1"/>
  <c r="F35" i="11"/>
  <c r="G35" i="10"/>
  <c r="G35" i="9"/>
  <c r="F35" i="9"/>
  <c r="G60" i="9"/>
  <c r="F52" i="6"/>
  <c r="F54" i="6" s="1"/>
  <c r="G35" i="6"/>
  <c r="J52" i="11"/>
  <c r="J54" i="11" s="1"/>
  <c r="J22" i="11" s="1"/>
  <c r="J23" i="11" s="1"/>
  <c r="J60" i="11" s="1"/>
  <c r="G35" i="11"/>
  <c r="F40" i="11"/>
  <c r="G40" i="10"/>
  <c r="F35" i="10"/>
  <c r="G60" i="11"/>
  <c r="F60" i="11"/>
  <c r="I35" i="11"/>
  <c r="G60" i="10"/>
  <c r="F52" i="10"/>
  <c r="F54" i="10" s="1"/>
  <c r="I22" i="10" s="1"/>
  <c r="I23" i="10" s="1"/>
  <c r="I60" i="10" s="1"/>
  <c r="J52" i="10"/>
  <c r="J54" i="10" s="1"/>
  <c r="J22" i="10" s="1"/>
  <c r="J23" i="10" s="1"/>
  <c r="F60" i="9"/>
  <c r="J52" i="9"/>
  <c r="J54" i="9" s="1"/>
  <c r="J22" i="9" s="1"/>
  <c r="J23" i="9" s="1"/>
  <c r="J60" i="9" s="1"/>
  <c r="F52" i="9"/>
  <c r="F54" i="9" s="1"/>
  <c r="I22" i="9" s="1"/>
  <c r="I23" i="9" s="1"/>
  <c r="I60" i="9" s="1"/>
  <c r="F60" i="8"/>
  <c r="F35" i="8"/>
  <c r="F52" i="8"/>
  <c r="F54" i="8" s="1"/>
  <c r="G60" i="8"/>
  <c r="G35" i="8"/>
  <c r="I22" i="6"/>
  <c r="I23" i="6" s="1"/>
  <c r="I60" i="6" s="1"/>
  <c r="J22" i="6"/>
  <c r="J23" i="6" s="1"/>
  <c r="J60" i="6" s="1"/>
  <c r="F40" i="6" l="1"/>
  <c r="F42" i="6" s="1"/>
  <c r="F65" i="6" s="1"/>
  <c r="F67" i="6" s="1"/>
  <c r="J35" i="11"/>
  <c r="F40" i="9"/>
  <c r="F42" i="9" s="1"/>
  <c r="F66" i="9" s="1"/>
  <c r="F68" i="9" s="1"/>
  <c r="G40" i="9"/>
  <c r="G40" i="6"/>
  <c r="G40" i="11"/>
  <c r="F42" i="11"/>
  <c r="G42" i="10"/>
  <c r="F40" i="10"/>
  <c r="F42" i="10" s="1"/>
  <c r="I22" i="8"/>
  <c r="I23" i="8" s="1"/>
  <c r="I60" i="8" s="1"/>
  <c r="J22" i="8"/>
  <c r="J23" i="8" s="1"/>
  <c r="I38" i="11"/>
  <c r="I40" i="11" s="1"/>
  <c r="J38" i="11"/>
  <c r="J40" i="11" s="1"/>
  <c r="I35" i="10"/>
  <c r="I38" i="10" s="1"/>
  <c r="I40" i="10" s="1"/>
  <c r="J60" i="10"/>
  <c r="J35" i="10"/>
  <c r="J35" i="9"/>
  <c r="I35" i="9"/>
  <c r="G38" i="8"/>
  <c r="G40" i="8" s="1"/>
  <c r="F38" i="8"/>
  <c r="F40" i="8" s="1"/>
  <c r="I35" i="6"/>
  <c r="J35" i="6"/>
  <c r="G42" i="9" l="1"/>
  <c r="G66" i="9" s="1"/>
  <c r="G68" i="9" s="1"/>
  <c r="K70" i="9" s="1"/>
  <c r="C9" i="27" s="1"/>
  <c r="G42" i="6"/>
  <c r="G65" i="6" s="1"/>
  <c r="G67" i="6" s="1"/>
  <c r="K69" i="6" s="1"/>
  <c r="C8" i="27" s="1"/>
  <c r="G42" i="11"/>
  <c r="F66" i="11"/>
  <c r="F68" i="11" s="1"/>
  <c r="G66" i="10"/>
  <c r="G68" i="10" s="1"/>
  <c r="F66" i="10"/>
  <c r="F68" i="10" s="1"/>
  <c r="I35" i="8"/>
  <c r="J35" i="8"/>
  <c r="J60" i="8"/>
  <c r="I42" i="11"/>
  <c r="J42" i="11"/>
  <c r="I42" i="10"/>
  <c r="J38" i="10"/>
  <c r="J40" i="10" s="1"/>
  <c r="I38" i="9"/>
  <c r="I40" i="9" s="1"/>
  <c r="J38" i="9"/>
  <c r="J40" i="9" s="1"/>
  <c r="F42" i="8"/>
  <c r="G42" i="8"/>
  <c r="J38" i="6"/>
  <c r="J40" i="6" s="1"/>
  <c r="I38" i="6"/>
  <c r="I40" i="6" s="1"/>
  <c r="I40" i="8" l="1"/>
  <c r="K70" i="10"/>
  <c r="C11" i="27" s="1"/>
  <c r="G66" i="11"/>
  <c r="G68" i="11" s="1"/>
  <c r="K70" i="11" s="1"/>
  <c r="C12" i="27" s="1"/>
  <c r="J40" i="8"/>
  <c r="J42" i="10"/>
  <c r="J42" i="9"/>
  <c r="I42" i="9"/>
  <c r="I42" i="6"/>
  <c r="I65" i="6" s="1"/>
  <c r="I67" i="6" s="1"/>
  <c r="J42" i="6"/>
  <c r="J65" i="6" s="1"/>
  <c r="J67" i="6" s="1"/>
  <c r="I42" i="8" l="1"/>
  <c r="I67" i="8" s="1"/>
  <c r="I69" i="8" s="1"/>
  <c r="J42" i="8"/>
  <c r="J46" i="4"/>
  <c r="J49" i="4" s="1"/>
  <c r="C46" i="4"/>
  <c r="K30" i="4"/>
  <c r="K33" i="4" s="1"/>
  <c r="G20" i="4"/>
  <c r="G18" i="4"/>
  <c r="F18" i="4"/>
  <c r="J17" i="4"/>
  <c r="I17" i="4"/>
  <c r="G17" i="4"/>
  <c r="F17" i="4"/>
  <c r="J15" i="4"/>
  <c r="J27" i="4" s="1"/>
  <c r="I15" i="4"/>
  <c r="I27" i="4" s="1"/>
  <c r="G15" i="4"/>
  <c r="F15" i="4"/>
  <c r="F27" i="4" s="1"/>
  <c r="F47" i="4" l="1"/>
  <c r="F48" i="4"/>
  <c r="F49" i="4"/>
  <c r="G16" i="4"/>
  <c r="G21" i="4" s="1"/>
  <c r="G59" i="4" s="1"/>
  <c r="G27" i="4"/>
  <c r="J67" i="8"/>
  <c r="J69" i="8" s="1"/>
  <c r="J71" i="8" s="1"/>
  <c r="C10" i="27" s="1"/>
  <c r="F30" i="4"/>
  <c r="F33" i="4" s="1"/>
  <c r="F21" i="4"/>
  <c r="F59" i="4" s="1"/>
  <c r="K38" i="4"/>
  <c r="J16" i="4"/>
  <c r="J30" i="4"/>
  <c r="I30" i="4"/>
  <c r="J48" i="4"/>
  <c r="J47" i="4"/>
  <c r="G30" i="4"/>
  <c r="K40" i="4" l="1"/>
  <c r="K65" i="4" s="1"/>
  <c r="K67" i="4" s="1"/>
  <c r="J50" i="4"/>
  <c r="J52" i="4" s="1"/>
  <c r="J20" i="4" s="1"/>
  <c r="F50" i="4"/>
  <c r="F52" i="4" s="1"/>
  <c r="I20" i="4" s="1"/>
  <c r="F36" i="4"/>
  <c r="F38" i="4" s="1"/>
  <c r="G33" i="4"/>
  <c r="I21" i="4" l="1"/>
  <c r="J21" i="4"/>
  <c r="F40" i="4"/>
  <c r="G36" i="4"/>
  <c r="G38" i="4" s="1"/>
  <c r="J33" i="4" l="1"/>
  <c r="J38" i="4" s="1"/>
  <c r="G40" i="4"/>
  <c r="I33" i="4"/>
  <c r="I38" i="4" s="1"/>
  <c r="I59" i="4"/>
  <c r="J59" i="4"/>
  <c r="I40" i="4" l="1"/>
  <c r="J40" i="4"/>
  <c r="J65" i="4" l="1"/>
  <c r="J67" i="4" s="1"/>
  <c r="I65" i="4"/>
  <c r="I67" i="4" s="1"/>
  <c r="J46" i="2"/>
  <c r="C46" i="2"/>
  <c r="K30" i="2"/>
  <c r="K33" i="2" s="1"/>
  <c r="G20" i="2"/>
  <c r="G18" i="2"/>
  <c r="F18" i="2"/>
  <c r="J17" i="2"/>
  <c r="I17" i="2"/>
  <c r="G17" i="2"/>
  <c r="F17" i="2"/>
  <c r="J15" i="2"/>
  <c r="J27" i="2" s="1"/>
  <c r="I15" i="2"/>
  <c r="I27" i="2" s="1"/>
  <c r="G15" i="2"/>
  <c r="F15" i="2"/>
  <c r="K69" i="4" l="1"/>
  <c r="C7" i="27" s="1"/>
  <c r="G16" i="2"/>
  <c r="G21" i="2" s="1"/>
  <c r="G27" i="2"/>
  <c r="F21" i="2"/>
  <c r="F59" i="2" s="1"/>
  <c r="F27" i="2"/>
  <c r="F49" i="2"/>
  <c r="F47" i="2"/>
  <c r="F48" i="2"/>
  <c r="J47" i="2"/>
  <c r="J49" i="2"/>
  <c r="F30" i="2"/>
  <c r="F33" i="2" s="1"/>
  <c r="F36" i="2" s="1"/>
  <c r="K38" i="2"/>
  <c r="J30" i="2"/>
  <c r="J16" i="2"/>
  <c r="I30" i="2"/>
  <c r="G59" i="2"/>
  <c r="G30" i="2"/>
  <c r="G33" i="2" s="1"/>
  <c r="G36" i="2" s="1"/>
  <c r="J48" i="2"/>
  <c r="K40" i="2" l="1"/>
  <c r="J50" i="2"/>
  <c r="J52" i="2" s="1"/>
  <c r="J20" i="2" s="1"/>
  <c r="J21" i="2" s="1"/>
  <c r="F50" i="2"/>
  <c r="F52" i="2" s="1"/>
  <c r="I20" i="2" s="1"/>
  <c r="G38" i="2"/>
  <c r="F38" i="2"/>
  <c r="K65" i="2" l="1"/>
  <c r="K67" i="2" s="1"/>
  <c r="J59" i="2"/>
  <c r="J33" i="2"/>
  <c r="J38" i="2" s="1"/>
  <c r="J40" i="2" s="1"/>
  <c r="I21" i="2"/>
  <c r="F40" i="2"/>
  <c r="G40" i="2"/>
  <c r="J65" i="2" l="1"/>
  <c r="J67" i="2" s="1"/>
  <c r="I33" i="2"/>
  <c r="I38" i="2" s="1"/>
  <c r="I40" i="2" s="1"/>
  <c r="I59" i="2"/>
  <c r="I65" i="2" l="1"/>
  <c r="I67" i="2" s="1"/>
  <c r="K69" i="2" s="1"/>
  <c r="C6" i="27" s="1"/>
  <c r="C14" i="27" s="1"/>
</calcChain>
</file>

<file path=xl/sharedStrings.xml><?xml version="1.0" encoding="utf-8"?>
<sst xmlns="http://schemas.openxmlformats.org/spreadsheetml/2006/main" count="622" uniqueCount="127">
  <si>
    <t>FRAMEWORK AGREEMENT LIST</t>
  </si>
  <si>
    <t>PROVISION OF SECURITY SERVICES IN PMO ASSETS CY 2024</t>
  </si>
  <si>
    <t>LOT 2 (NCR and Luzon)</t>
  </si>
  <si>
    <t>Item / Service</t>
  </si>
  <si>
    <t>Total Cost Per Year</t>
  </si>
  <si>
    <t>(Php)</t>
  </si>
  <si>
    <t>Provision of Security Services for PMO – Building, Makati City [NCR]</t>
  </si>
  <si>
    <t>Provision of Security Services for Warehouse, Bagbaguin, Valenzuela City [NCR]</t>
  </si>
  <si>
    <t>Provision of Security Services for Lot, Norzagaray, Bulacan [REGION III]</t>
  </si>
  <si>
    <t>Provision of Security Services for Lot, Hermosa, Bataan [REGION III]</t>
  </si>
  <si>
    <t>Provision of Security Services for Lot, Mariveles, Bataan [REGION III]</t>
  </si>
  <si>
    <t>Provision of Security Services for Lot, Angono, Rizal [REGION IV-A]</t>
  </si>
  <si>
    <t>Provision of Security Services for Lot, Rosario, Cavite [REGION IV-A]</t>
  </si>
  <si>
    <t>Provision of Security Services for Account Officer (Security Manager)</t>
  </si>
  <si>
    <t>TOTAL</t>
  </si>
  <si>
    <t>TOTAL AMOUNT IN WORDS:</t>
  </si>
  <si>
    <t>Submitted by:</t>
  </si>
  <si>
    <t>(Signature over printed name of authorized signatory)</t>
  </si>
  <si>
    <t>Designation/Position Title:</t>
  </si>
  <si>
    <t>WAGE ORDER NO. NCR-24</t>
  </si>
  <si>
    <t>National Capital Region</t>
  </si>
  <si>
    <t>Effective on 16 July 2023</t>
  </si>
  <si>
    <t>NCR - 8 hours</t>
  </si>
  <si>
    <t>NCR -12 hours</t>
  </si>
  <si>
    <t>Days worked per week</t>
  </si>
  <si>
    <t>6 days</t>
  </si>
  <si>
    <t>No. of Days/year</t>
  </si>
  <si>
    <t>8 hours work/day</t>
  </si>
  <si>
    <t>12 hours work/day</t>
  </si>
  <si>
    <t>Day Shift</t>
  </si>
  <si>
    <t>Night Shift</t>
  </si>
  <si>
    <t>Relievers</t>
  </si>
  <si>
    <t>Amount to Guard</t>
  </si>
  <si>
    <t>Daily Wage (DW)</t>
  </si>
  <si>
    <t>P</t>
  </si>
  <si>
    <r>
      <t xml:space="preserve">Ave. Pay/Month </t>
    </r>
    <r>
      <rPr>
        <i/>
        <sz val="12"/>
        <color theme="1"/>
        <rFont val="Times New Roman"/>
        <family val="1"/>
      </rPr>
      <t>(DW x No. of Days per yr/12)</t>
    </r>
  </si>
  <si>
    <r>
      <t xml:space="preserve">Night Differential  </t>
    </r>
    <r>
      <rPr>
        <i/>
        <sz val="12"/>
        <color theme="1"/>
        <rFont val="Times New Roman"/>
        <family val="1"/>
      </rPr>
      <t>(Ave. Pay/mo. X 10% x 1/3)</t>
    </r>
  </si>
  <si>
    <r>
      <t xml:space="preserve">13 Month Pay  </t>
    </r>
    <r>
      <rPr>
        <i/>
        <sz val="12"/>
        <color theme="1"/>
        <rFont val="Times New Roman"/>
        <family val="1"/>
      </rPr>
      <t>(DW X 365 /12 /12 )</t>
    </r>
  </si>
  <si>
    <r>
      <t xml:space="preserve">5 Days Incentive Pay  </t>
    </r>
    <r>
      <rPr>
        <i/>
        <sz val="12"/>
        <color theme="1"/>
        <rFont val="Times New Roman"/>
        <family val="1"/>
      </rPr>
      <t>(DW x 5 / 12)</t>
    </r>
  </si>
  <si>
    <r>
      <t xml:space="preserve">Uniform Allowance </t>
    </r>
    <r>
      <rPr>
        <i/>
        <sz val="12"/>
        <color theme="1"/>
        <rFont val="Times New Roman"/>
        <family val="1"/>
      </rPr>
      <t>(R.A. 5487)</t>
    </r>
  </si>
  <si>
    <t xml:space="preserve">Overtime Pay </t>
  </si>
  <si>
    <t>Amount to Government in Favor of Guards</t>
  </si>
  <si>
    <t>Retirement Benefit (RA 7641) (DW x 22.5/12)</t>
  </si>
  <si>
    <r>
      <t xml:space="preserve">SSS Premium </t>
    </r>
    <r>
      <rPr>
        <sz val="11"/>
        <color theme="1"/>
        <rFont val="Times New Roman"/>
        <family val="1"/>
      </rPr>
      <t>(effective January 2023)</t>
    </r>
  </si>
  <si>
    <t>SSS WISP</t>
  </si>
  <si>
    <t>Philhealth Contribution (PHIC Circular 2020-0005)</t>
  </si>
  <si>
    <t>State Insurance Fund</t>
  </si>
  <si>
    <t>Pag-ibig Fund</t>
  </si>
  <si>
    <t>A. TOTAL AMOUNT TO GUARD &amp; GOV'T.</t>
  </si>
  <si>
    <t>B. AGENCY FEE</t>
  </si>
  <si>
    <r>
      <t>Administrative Overhead and Margin</t>
    </r>
    <r>
      <rPr>
        <i/>
        <sz val="12"/>
        <color theme="1"/>
        <rFont val="Times New Roman"/>
        <family val="1"/>
      </rPr>
      <t xml:space="preserve"> (Min. 20%, Max 24%</t>
    </r>
    <r>
      <rPr>
        <sz val="12"/>
        <color theme="1"/>
        <rFont val="Times New Roman"/>
        <family val="1"/>
      </rPr>
      <t>)</t>
    </r>
  </si>
  <si>
    <r>
      <t xml:space="preserve">C. VALUE ADDED TAX </t>
    </r>
    <r>
      <rPr>
        <sz val="12"/>
        <color theme="1"/>
        <rFont val="Times New Roman"/>
        <family val="1"/>
      </rPr>
      <t>(Agency fee x 12% VAT-RMC-39-2007)</t>
    </r>
  </si>
  <si>
    <t>AVERAGE CONTRACT RATE</t>
  </si>
  <si>
    <t>TOTAL COST FOR ONE (1) YEAR ASSIGNED IN NCR</t>
  </si>
  <si>
    <t>Overtime Computation (Day Shift)</t>
  </si>
  <si>
    <t>Overtime Computation (Night Shift)</t>
  </si>
  <si>
    <t>Rate per hour</t>
  </si>
  <si>
    <t>Ordinary Working Days (HR x 125% x 295 x 4)</t>
  </si>
  <si>
    <t>Ordinary WD (HR x 137.5% x 295 x 4)</t>
  </si>
  <si>
    <t>Regular Holidays (HR x 260% X 12 x 4)</t>
  </si>
  <si>
    <t>RD (HR x 286% x 12 x 4)</t>
  </si>
  <si>
    <t>Special Days (HR x 169% x 6 x 4)</t>
  </si>
  <si>
    <t>SD (HR x 185.9% x 6 x 4)</t>
  </si>
  <si>
    <t>Divided by 12</t>
  </si>
  <si>
    <t>Divided by</t>
  </si>
  <si>
    <t>Monthly overtime pay (4 hours/day)</t>
  </si>
  <si>
    <t>Monthly OT</t>
  </si>
  <si>
    <t xml:space="preserve">Remark(s) </t>
  </si>
  <si>
    <t>Changed the rate for special days since no one should work</t>
  </si>
  <si>
    <t>on a rest day.</t>
  </si>
  <si>
    <t>Basis for SSS (Amount to Guard less 13th month pay)</t>
  </si>
  <si>
    <t xml:space="preserve">No. of Guards To be Assigned </t>
  </si>
  <si>
    <t>Total Average Contract Rate Per Month</t>
  </si>
  <si>
    <t>Total for 1 Year (PMO Building, Makati City)</t>
  </si>
  <si>
    <t>Total for 1 Year (Warehouse in Valenzuela City)</t>
  </si>
  <si>
    <t>WAGE ORDER NO. RBIII-23</t>
  </si>
  <si>
    <t>Region III (Central Luzon)</t>
  </si>
  <si>
    <t>Effective on 16 October 2023</t>
  </si>
  <si>
    <t xml:space="preserve"> </t>
  </si>
  <si>
    <t>Bulacan &amp; Bataan-8 hours</t>
  </si>
  <si>
    <t>TOTAL COST FOR ONE (1) YEAR ASSIGNED IN REGION III</t>
  </si>
  <si>
    <t>Total for 1 Year (Lot in Norzagaray, Bulacan)</t>
  </si>
  <si>
    <t>Total for 1 Year (Lot in Hermosa, Bataan)</t>
  </si>
  <si>
    <t>Bulacan &amp; Bataan-12 hours</t>
  </si>
  <si>
    <t>Reliever</t>
  </si>
  <si>
    <t>Total for 1 Year (Lot in Mariveles, Bataan)</t>
  </si>
  <si>
    <t>WAGE ORDER NO. IVA-19</t>
  </si>
  <si>
    <t>Region IV-A (CALABARZON)</t>
  </si>
  <si>
    <t>Effective on 24 September 2023</t>
  </si>
  <si>
    <t>Rizal &amp; Rosario, Cavite - 8 hours</t>
  </si>
  <si>
    <t>Retirement Benefit (RA 7641) (DW x 22.5 / 12)</t>
  </si>
  <si>
    <t>Philhealth Contribution (PHIC Advisory 2022-0010)</t>
  </si>
  <si>
    <t>TOTAL COST FOR ONE (1) YEAR ASSIGNED IN REGION IV-A</t>
  </si>
  <si>
    <t>Total for 1 Year (Lot in Angono, Rizal)</t>
  </si>
  <si>
    <t>Total for 1 Year (Lot in Rosario, Cavite)</t>
  </si>
  <si>
    <t>WAGE ORDER NO. RB XI-21</t>
  </si>
  <si>
    <t>Davao Region</t>
  </si>
  <si>
    <t>Effective on 19 June 2022</t>
  </si>
  <si>
    <t>Toril - 8 hours</t>
  </si>
  <si>
    <t>Toril -12 hours</t>
  </si>
  <si>
    <t>TOTAL COST FOR ONE (1) YEAR ASSIGNED IN REGION XI (Toril, Davao Region)</t>
  </si>
  <si>
    <t xml:space="preserve">                                                                                                            </t>
  </si>
  <si>
    <t>Total for 1 Year (Toril, Davao City)</t>
  </si>
  <si>
    <t>Account Officer (Security Manager)</t>
  </si>
  <si>
    <t>Flat Monthly Rate (Take Home Pay: Minimum amount of P42,000.00)</t>
  </si>
  <si>
    <t>Amount Due Directly to AO/SM</t>
  </si>
  <si>
    <t>Estimated monthly wage</t>
  </si>
  <si>
    <t>13th Month Pay</t>
  </si>
  <si>
    <t>Gross Pay</t>
  </si>
  <si>
    <t>GROSS PAY</t>
  </si>
  <si>
    <t>Less:</t>
  </si>
  <si>
    <t>Amount Due to Government in favor of Guards</t>
  </si>
  <si>
    <t>ER Share</t>
  </si>
  <si>
    <t>EE Share</t>
  </si>
  <si>
    <t xml:space="preserve">         Statutory deductions (SSS,PHIC,Pag-Ibig)</t>
  </si>
  <si>
    <t xml:space="preserve">Net Amount before  tax </t>
  </si>
  <si>
    <t xml:space="preserve">SSS Premium </t>
  </si>
  <si>
    <t>Less:  Withholding Tax</t>
  </si>
  <si>
    <t>Estimated Net pay after tax</t>
  </si>
  <si>
    <t xml:space="preserve">Philhealth Contribution </t>
  </si>
  <si>
    <t>A. Total Amount Due to Guard &amp; Government</t>
  </si>
  <si>
    <r>
      <t>Administrative Overhead and Margin</t>
    </r>
    <r>
      <rPr>
        <i/>
        <sz val="11"/>
        <rFont val="Calibri"/>
        <family val="2"/>
        <scheme val="minor"/>
      </rPr>
      <t xml:space="preserve"> (Min. 20%, Max 24%</t>
    </r>
    <r>
      <rPr>
        <sz val="11"/>
        <rFont val="Calibri"/>
        <family val="2"/>
        <scheme val="minor"/>
      </rPr>
      <t>)</t>
    </r>
  </si>
  <si>
    <r>
      <t xml:space="preserve">C. VALUE ADDED TAX </t>
    </r>
    <r>
      <rPr>
        <i/>
        <sz val="11"/>
        <rFont val="Calibri (Body)"/>
      </rPr>
      <t>(Agency fee x 12% VAT)</t>
    </r>
  </si>
  <si>
    <t>AVERAGE RATE (1 AO/SM, Per Month)</t>
  </si>
  <si>
    <t xml:space="preserve">TOTAL COST FOR ONE (1) YEAR- AO (SM) </t>
  </si>
  <si>
    <t xml:space="preserve">No. of Persons Assigned </t>
  </si>
  <si>
    <t xml:space="preserve">Total for 1 year - AO/SM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</si>
</sst>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sz val="12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name val="Calibri (Body)"/>
    </font>
    <font>
      <b/>
      <sz val="12"/>
      <name val="Times New Roman"/>
      <family val="1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Protection="1">
      <protection locked="0"/>
    </xf>
    <xf numFmtId="0" fontId="3" fillId="0" borderId="0" xfId="0" applyFont="1" applyAlignment="1">
      <alignment horizontal="right"/>
    </xf>
    <xf numFmtId="0" fontId="3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164" fontId="3" fillId="0" borderId="0" xfId="0" applyNumberFormat="1" applyFont="1"/>
    <xf numFmtId="0" fontId="2" fillId="0" borderId="0" xfId="0" applyFont="1" applyAlignment="1">
      <alignment horizontal="center"/>
    </xf>
    <xf numFmtId="4" fontId="3" fillId="0" borderId="0" xfId="0" applyNumberFormat="1" applyFont="1" applyProtection="1">
      <protection locked="0"/>
    </xf>
    <xf numFmtId="4" fontId="3" fillId="0" borderId="2" xfId="0" applyNumberFormat="1" applyFont="1" applyBorder="1" applyProtection="1">
      <protection locked="0"/>
    </xf>
    <xf numFmtId="0" fontId="2" fillId="0" borderId="0" xfId="0" applyFont="1"/>
    <xf numFmtId="43" fontId="3" fillId="0" borderId="0" xfId="2" applyFont="1"/>
    <xf numFmtId="43" fontId="3" fillId="0" borderId="0" xfId="2" applyFont="1" applyAlignment="1">
      <alignment horizontal="center"/>
    </xf>
    <xf numFmtId="43" fontId="3" fillId="0" borderId="0" xfId="0" applyNumberFormat="1" applyFont="1"/>
    <xf numFmtId="2" fontId="3" fillId="0" borderId="0" xfId="0" applyNumberFormat="1" applyFont="1"/>
    <xf numFmtId="43" fontId="3" fillId="0" borderId="1" xfId="2" applyFont="1" applyBorder="1"/>
    <xf numFmtId="43" fontId="3" fillId="0" borderId="0" xfId="2" applyFont="1" applyBorder="1" applyAlignment="1">
      <alignment horizontal="center"/>
    </xf>
    <xf numFmtId="164" fontId="3" fillId="0" borderId="1" xfId="3" applyFont="1" applyBorder="1"/>
    <xf numFmtId="43" fontId="3" fillId="0" borderId="0" xfId="0" applyNumberFormat="1" applyFont="1" applyAlignment="1">
      <alignment horizontal="center"/>
    </xf>
    <xf numFmtId="43" fontId="5" fillId="0" borderId="0" xfId="2" applyFont="1"/>
    <xf numFmtId="43" fontId="5" fillId="0" borderId="1" xfId="2" applyFont="1" applyBorder="1"/>
    <xf numFmtId="43" fontId="5" fillId="0" borderId="0" xfId="0" applyNumberFormat="1" applyFont="1"/>
    <xf numFmtId="164" fontId="2" fillId="0" borderId="0" xfId="0" applyNumberFormat="1" applyFont="1"/>
    <xf numFmtId="43" fontId="2" fillId="0" borderId="0" xfId="2" applyFont="1"/>
    <xf numFmtId="43" fontId="2" fillId="0" borderId="0" xfId="2" applyFont="1" applyAlignment="1">
      <alignment horizontal="center"/>
    </xf>
    <xf numFmtId="43" fontId="2" fillId="0" borderId="2" xfId="2" applyFont="1" applyBorder="1"/>
    <xf numFmtId="164" fontId="2" fillId="0" borderId="2" xfId="0" applyNumberFormat="1" applyFont="1" applyBorder="1"/>
    <xf numFmtId="164" fontId="3" fillId="0" borderId="0" xfId="3" applyFont="1"/>
    <xf numFmtId="43" fontId="3" fillId="0" borderId="3" xfId="0" applyNumberFormat="1" applyFont="1" applyBorder="1"/>
    <xf numFmtId="0" fontId="3" fillId="0" borderId="1" xfId="0" applyFont="1" applyBorder="1"/>
    <xf numFmtId="43" fontId="2" fillId="0" borderId="4" xfId="0" applyNumberFormat="1" applyFont="1" applyBorder="1"/>
    <xf numFmtId="43" fontId="3" fillId="0" borderId="2" xfId="2" applyFont="1" applyBorder="1"/>
    <xf numFmtId="43" fontId="3" fillId="0" borderId="2" xfId="2" applyFont="1" applyBorder="1" applyAlignment="1">
      <alignment horizontal="center"/>
    </xf>
    <xf numFmtId="43" fontId="3" fillId="0" borderId="2" xfId="0" applyNumberFormat="1" applyFont="1" applyBorder="1"/>
    <xf numFmtId="4" fontId="3" fillId="0" borderId="0" xfId="0" applyNumberFormat="1" applyFont="1"/>
    <xf numFmtId="0" fontId="7" fillId="0" borderId="0" xfId="0" applyFont="1"/>
    <xf numFmtId="0" fontId="3" fillId="0" borderId="2" xfId="0" applyFont="1" applyBorder="1" applyAlignment="1" applyProtection="1">
      <alignment horizontal="center"/>
      <protection locked="0"/>
    </xf>
    <xf numFmtId="0" fontId="3" fillId="0" borderId="2" xfId="0" applyFont="1" applyBorder="1" applyProtection="1">
      <protection locked="0"/>
    </xf>
    <xf numFmtId="0" fontId="5" fillId="0" borderId="0" xfId="0" applyFont="1"/>
    <xf numFmtId="0" fontId="11" fillId="0" borderId="0" xfId="0" applyFont="1" applyAlignment="1">
      <alignment vertical="center"/>
    </xf>
    <xf numFmtId="0" fontId="13" fillId="0" borderId="0" xfId="0" applyFont="1"/>
    <xf numFmtId="0" fontId="12" fillId="0" borderId="0" xfId="0" applyFont="1"/>
    <xf numFmtId="43" fontId="13" fillId="0" borderId="0" xfId="1" applyFont="1" applyFill="1" applyProtection="1"/>
    <xf numFmtId="43" fontId="12" fillId="0" borderId="0" xfId="1" applyFont="1" applyFill="1" applyProtection="1"/>
    <xf numFmtId="43" fontId="12" fillId="0" borderId="1" xfId="0" applyNumberFormat="1" applyFont="1" applyBorder="1"/>
    <xf numFmtId="43" fontId="12" fillId="0" borderId="0" xfId="0" applyNumberFormat="1" applyFont="1"/>
    <xf numFmtId="0" fontId="14" fillId="0" borderId="0" xfId="0" applyFont="1"/>
    <xf numFmtId="43" fontId="12" fillId="0" borderId="0" xfId="1" applyFont="1" applyFill="1" applyAlignment="1" applyProtection="1">
      <alignment horizontal="center"/>
    </xf>
    <xf numFmtId="0" fontId="13" fillId="0" borderId="0" xfId="0" applyFont="1" applyAlignment="1">
      <alignment wrapText="1"/>
    </xf>
    <xf numFmtId="164" fontId="12" fillId="0" borderId="0" xfId="0" applyNumberFormat="1" applyFont="1" applyAlignment="1">
      <alignment vertical="center"/>
    </xf>
    <xf numFmtId="43" fontId="12" fillId="0" borderId="1" xfId="1" applyFont="1" applyFill="1" applyBorder="1" applyProtection="1"/>
    <xf numFmtId="164" fontId="13" fillId="0" borderId="4" xfId="0" applyNumberFormat="1" applyFont="1" applyBorder="1"/>
    <xf numFmtId="43" fontId="12" fillId="0" borderId="1" xfId="1" applyFont="1" applyFill="1" applyBorder="1" applyAlignment="1" applyProtection="1">
      <alignment horizontal="center"/>
    </xf>
    <xf numFmtId="0" fontId="12" fillId="0" borderId="0" xfId="0" applyFont="1" applyProtection="1">
      <protection locked="0"/>
    </xf>
    <xf numFmtId="0" fontId="0" fillId="0" borderId="0" xfId="0" applyProtection="1">
      <protection locked="0"/>
    </xf>
    <xf numFmtId="164" fontId="11" fillId="0" borderId="0" xfId="0" applyNumberFormat="1" applyFont="1" applyAlignment="1">
      <alignment vertical="center"/>
    </xf>
    <xf numFmtId="0" fontId="10" fillId="0" borderId="0" xfId="0" applyFont="1" applyAlignment="1">
      <alignment horizontal="center"/>
    </xf>
    <xf numFmtId="43" fontId="3" fillId="0" borderId="0" xfId="2" applyFont="1" applyProtection="1"/>
    <xf numFmtId="43" fontId="3" fillId="0" borderId="0" xfId="2" applyFont="1" applyAlignment="1" applyProtection="1">
      <alignment horizontal="center"/>
    </xf>
    <xf numFmtId="43" fontId="3" fillId="0" borderId="1" xfId="2" applyFont="1" applyBorder="1" applyProtection="1"/>
    <xf numFmtId="43" fontId="3" fillId="0" borderId="0" xfId="2" applyFont="1" applyBorder="1" applyAlignment="1" applyProtection="1">
      <alignment horizontal="center"/>
    </xf>
    <xf numFmtId="164" fontId="3" fillId="0" borderId="1" xfId="3" applyFont="1" applyBorder="1" applyProtection="1"/>
    <xf numFmtId="43" fontId="5" fillId="0" borderId="0" xfId="2" applyFont="1" applyProtection="1"/>
    <xf numFmtId="43" fontId="5" fillId="0" borderId="1" xfId="2" applyFont="1" applyBorder="1" applyProtection="1"/>
    <xf numFmtId="43" fontId="2" fillId="0" borderId="0" xfId="2" applyFont="1" applyProtection="1"/>
    <xf numFmtId="43" fontId="2" fillId="0" borderId="0" xfId="2" applyFont="1" applyAlignment="1" applyProtection="1">
      <alignment horizontal="center"/>
    </xf>
    <xf numFmtId="43" fontId="2" fillId="0" borderId="2" xfId="2" applyFont="1" applyBorder="1" applyProtection="1"/>
    <xf numFmtId="164" fontId="3" fillId="0" borderId="0" xfId="3" applyFont="1" applyProtection="1"/>
    <xf numFmtId="43" fontId="3" fillId="0" borderId="2" xfId="2" applyFont="1" applyBorder="1" applyProtection="1"/>
    <xf numFmtId="43" fontId="3" fillId="0" borderId="2" xfId="2" applyFont="1" applyBorder="1" applyAlignment="1" applyProtection="1">
      <alignment horizontal="center"/>
    </xf>
    <xf numFmtId="0" fontId="3" fillId="0" borderId="0" xfId="1" applyNumberFormat="1" applyFont="1" applyAlignment="1" applyProtection="1">
      <alignment horizontal="center"/>
    </xf>
    <xf numFmtId="43" fontId="3" fillId="0" borderId="0" xfId="1" applyFont="1" applyAlignment="1" applyProtection="1">
      <alignment horizontal="left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43" fontId="2" fillId="0" borderId="2" xfId="0" applyNumberFormat="1" applyFont="1" applyBorder="1"/>
    <xf numFmtId="43" fontId="8" fillId="0" borderId="0" xfId="0" applyNumberFormat="1" applyFont="1"/>
    <xf numFmtId="43" fontId="8" fillId="0" borderId="2" xfId="0" applyNumberFormat="1" applyFont="1" applyBorder="1"/>
    <xf numFmtId="9" fontId="3" fillId="0" borderId="9" xfId="4" applyFont="1" applyBorder="1" applyAlignment="1" applyProtection="1">
      <alignment horizontal="center" wrapText="1"/>
      <protection locked="0"/>
    </xf>
    <xf numFmtId="43" fontId="3" fillId="0" borderId="0" xfId="2" applyFont="1" applyFill="1" applyProtection="1"/>
    <xf numFmtId="43" fontId="3" fillId="0" borderId="1" xfId="2" applyFont="1" applyFill="1" applyBorder="1" applyProtection="1"/>
    <xf numFmtId="43" fontId="3" fillId="0" borderId="0" xfId="2" applyFont="1" applyFill="1" applyBorder="1" applyAlignment="1" applyProtection="1">
      <alignment horizontal="center"/>
    </xf>
    <xf numFmtId="164" fontId="3" fillId="0" borderId="1" xfId="3" applyFont="1" applyFill="1" applyBorder="1" applyProtection="1"/>
    <xf numFmtId="0" fontId="5" fillId="0" borderId="0" xfId="0" applyFont="1" applyAlignment="1">
      <alignment horizontal="center"/>
    </xf>
    <xf numFmtId="43" fontId="13" fillId="0" borderId="0" xfId="0" applyNumberFormat="1" applyFont="1"/>
    <xf numFmtId="43" fontId="14" fillId="0" borderId="1" xfId="0" applyNumberFormat="1" applyFont="1" applyBorder="1"/>
    <xf numFmtId="164" fontId="12" fillId="0" borderId="0" xfId="0" applyNumberFormat="1" applyFont="1"/>
    <xf numFmtId="164" fontId="14" fillId="0" borderId="0" xfId="0" applyNumberFormat="1" applyFont="1"/>
    <xf numFmtId="164" fontId="13" fillId="0" borderId="0" xfId="0" applyNumberFormat="1" applyFont="1"/>
    <xf numFmtId="164" fontId="14" fillId="0" borderId="1" xfId="0" applyNumberFormat="1" applyFont="1" applyBorder="1"/>
    <xf numFmtId="43" fontId="13" fillId="0" borderId="2" xfId="0" applyNumberFormat="1" applyFont="1" applyBorder="1"/>
    <xf numFmtId="0" fontId="9" fillId="0" borderId="0" xfId="0" applyFont="1"/>
    <xf numFmtId="0" fontId="0" fillId="0" borderId="0" xfId="0" applyAlignment="1">
      <alignment horizontal="center"/>
    </xf>
    <xf numFmtId="164" fontId="9" fillId="0" borderId="2" xfId="0" applyNumberFormat="1" applyFont="1" applyBorder="1"/>
    <xf numFmtId="9" fontId="13" fillId="0" borderId="9" xfId="4" applyFont="1" applyBorder="1" applyAlignment="1" applyProtection="1">
      <alignment horizontal="center"/>
      <protection locked="0"/>
    </xf>
    <xf numFmtId="0" fontId="11" fillId="0" borderId="5" xfId="0" applyFont="1" applyBorder="1" applyAlignment="1">
      <alignment horizontal="center"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top"/>
    </xf>
    <xf numFmtId="164" fontId="0" fillId="0" borderId="8" xfId="0" applyNumberFormat="1" applyBorder="1" applyAlignment="1">
      <alignment horizontal="left" vertical="center" wrapText="1"/>
    </xf>
    <xf numFmtId="0" fontId="12" fillId="0" borderId="5" xfId="0" applyFont="1" applyBorder="1" applyAlignment="1">
      <alignment vertical="center" wrapText="1"/>
    </xf>
    <xf numFmtId="164" fontId="12" fillId="0" borderId="8" xfId="0" applyNumberFormat="1" applyFont="1" applyBorder="1" applyAlignment="1">
      <alignment horizontal="left" vertical="center" wrapText="1"/>
    </xf>
    <xf numFmtId="164" fontId="9" fillId="0" borderId="8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164" fontId="2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/>
    </xf>
    <xf numFmtId="43" fontId="12" fillId="0" borderId="0" xfId="0" applyNumberFormat="1" applyFont="1" applyAlignment="1">
      <alignment horizontal="center"/>
    </xf>
    <xf numFmtId="0" fontId="9" fillId="0" borderId="5" xfId="0" applyFont="1" applyBorder="1" applyAlignment="1">
      <alignment horizontal="left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8" fillId="0" borderId="2" xfId="0" applyNumberFormat="1" applyFont="1" applyBorder="1" applyAlignment="1">
      <alignment horizontal="right"/>
    </xf>
    <xf numFmtId="0" fontId="3" fillId="0" borderId="0" xfId="0" applyFont="1" applyAlignment="1" applyProtection="1">
      <alignment horizontal="left" wrapText="1"/>
      <protection locked="0"/>
    </xf>
    <xf numFmtId="0" fontId="16" fillId="0" borderId="0" xfId="0" applyFont="1" applyAlignment="1">
      <alignment horizontal="center"/>
    </xf>
  </cellXfs>
  <cellStyles count="5">
    <cellStyle name="Comma" xfId="1" builtinId="3"/>
    <cellStyle name="Comma 2" xfId="2" xr:uid="{989A1B9A-EFFD-4F4E-8DFB-A6490F43ECAD}"/>
    <cellStyle name="Comma 3" xfId="3" xr:uid="{2BA04C63-68E6-42D5-9DB1-5053FD563B9F}"/>
    <cellStyle name="Normal" xfId="0" builtinId="0"/>
    <cellStyle name="Percent" xfId="4" builtinId="5"/>
  </cellStyles>
  <dxfs count="11"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7CE3B-4C67-4EFD-B904-AEE9FA67863F}">
  <dimension ref="A1:F24"/>
  <sheetViews>
    <sheetView tabSelected="1" topLeftCell="A2" zoomScale="106" zoomScaleNormal="106" workbookViewId="0">
      <selection activeCell="A17" sqref="A17:C18"/>
    </sheetView>
  </sheetViews>
  <sheetFormatPr defaultRowHeight="15"/>
  <cols>
    <col min="1" max="1" width="3.140625" customWidth="1"/>
    <col min="2" max="2" width="77.5703125" customWidth="1"/>
    <col min="3" max="3" width="20.28515625" customWidth="1"/>
    <col min="6" max="6" width="15.7109375" bestFit="1" customWidth="1"/>
  </cols>
  <sheetData>
    <row r="1" spans="1:6" hidden="1">
      <c r="A1" s="111" t="s">
        <v>0</v>
      </c>
      <c r="B1" s="111"/>
      <c r="C1" s="111"/>
    </row>
    <row r="2" spans="1:6">
      <c r="A2" s="112" t="s">
        <v>1</v>
      </c>
      <c r="B2" s="112"/>
      <c r="C2" s="112"/>
    </row>
    <row r="3" spans="1:6">
      <c r="A3" s="102"/>
      <c r="B3" s="102" t="s">
        <v>2</v>
      </c>
      <c r="C3" s="102"/>
    </row>
    <row r="4" spans="1:6" ht="18.75" customHeight="1">
      <c r="A4" s="113" t="s">
        <v>3</v>
      </c>
      <c r="B4" s="113"/>
      <c r="C4" s="96" t="s">
        <v>4</v>
      </c>
    </row>
    <row r="5" spans="1:6" ht="18" customHeight="1">
      <c r="A5" s="113"/>
      <c r="B5" s="113"/>
      <c r="C5" s="95" t="s">
        <v>5</v>
      </c>
    </row>
    <row r="6" spans="1:6" ht="20.100000000000001" customHeight="1">
      <c r="A6" s="97">
        <v>1</v>
      </c>
      <c r="B6" s="99" t="s">
        <v>6</v>
      </c>
      <c r="C6" s="98" t="e">
        <f>'NCR PMO'!K69</f>
        <v>#VALUE!</v>
      </c>
    </row>
    <row r="7" spans="1:6" ht="20.100000000000001" customHeight="1">
      <c r="A7" s="97">
        <v>2</v>
      </c>
      <c r="B7" s="99" t="s">
        <v>7</v>
      </c>
      <c r="C7" s="98" t="e">
        <f>'NCR Warehouse'!K69</f>
        <v>#VALUE!</v>
      </c>
    </row>
    <row r="8" spans="1:6" ht="20.100000000000001" customHeight="1">
      <c r="A8" s="97">
        <v>3</v>
      </c>
      <c r="B8" s="99" t="s">
        <v>8</v>
      </c>
      <c r="C8" s="98" t="e">
        <f>Norzagaray!K69</f>
        <v>#VALUE!</v>
      </c>
    </row>
    <row r="9" spans="1:6" ht="20.100000000000001" customHeight="1">
      <c r="A9" s="97">
        <v>4</v>
      </c>
      <c r="B9" s="99" t="s">
        <v>9</v>
      </c>
      <c r="C9" s="98" t="e">
        <f>Hermosa!K70</f>
        <v>#VALUE!</v>
      </c>
    </row>
    <row r="10" spans="1:6" ht="20.100000000000001" customHeight="1">
      <c r="A10" s="97">
        <v>5</v>
      </c>
      <c r="B10" s="99" t="s">
        <v>10</v>
      </c>
      <c r="C10" s="98" t="e">
        <f>Mariveles!J71</f>
        <v>#VALUE!</v>
      </c>
    </row>
    <row r="11" spans="1:6" ht="20.100000000000001" customHeight="1">
      <c r="A11" s="97">
        <v>6</v>
      </c>
      <c r="B11" s="99" t="s">
        <v>11</v>
      </c>
      <c r="C11" s="98" t="e">
        <f>Angono!K70</f>
        <v>#VALUE!</v>
      </c>
    </row>
    <row r="12" spans="1:6" ht="20.100000000000001" customHeight="1">
      <c r="A12" s="97">
        <v>7</v>
      </c>
      <c r="B12" s="99" t="s">
        <v>12</v>
      </c>
      <c r="C12" s="98" t="e">
        <f>Rosario!K70</f>
        <v>#VALUE!</v>
      </c>
    </row>
    <row r="13" spans="1:6" ht="20.100000000000001" customHeight="1">
      <c r="A13" s="97">
        <v>8</v>
      </c>
      <c r="B13" s="99" t="s">
        <v>13</v>
      </c>
      <c r="C13" s="100" t="e">
        <f>AO!E31</f>
        <v>#VALUE!</v>
      </c>
    </row>
    <row r="14" spans="1:6" s="40" customFormat="1" ht="35.1" customHeight="1">
      <c r="A14" s="114" t="s">
        <v>14</v>
      </c>
      <c r="B14" s="115"/>
      <c r="C14" s="101" t="e">
        <f>SUM(C6:C13)</f>
        <v>#VALUE!</v>
      </c>
      <c r="F14" s="56"/>
    </row>
    <row r="16" spans="1:6">
      <c r="A16" s="109" t="s">
        <v>15</v>
      </c>
      <c r="B16" s="109"/>
      <c r="C16" s="109"/>
    </row>
    <row r="17" spans="1:3">
      <c r="A17" s="110"/>
      <c r="B17" s="110"/>
      <c r="C17" s="110"/>
    </row>
    <row r="18" spans="1:3">
      <c r="A18" s="110"/>
      <c r="B18" s="110"/>
      <c r="C18" s="110"/>
    </row>
    <row r="20" spans="1:3">
      <c r="A20" t="s">
        <v>16</v>
      </c>
    </row>
    <row r="21" spans="1:3">
      <c r="B21" s="104"/>
    </row>
    <row r="22" spans="1:3">
      <c r="B22" s="103" t="s">
        <v>17</v>
      </c>
    </row>
    <row r="23" spans="1:3">
      <c r="A23" t="s">
        <v>18</v>
      </c>
    </row>
    <row r="24" spans="1:3">
      <c r="B24" s="105"/>
    </row>
  </sheetData>
  <sheetProtection algorithmName="SHA-512" hashValue="9GDGDkq/r7IHZWTgZq3CyjwfPvE9k0YHzfKUhfHJC9Ka1KTBIQfBGok9WdVfe9rfZxhCOxs9xAq2+allaAUjww==" saltValue="4MYsdm3+PZbSd+S0BHUvqQ==" spinCount="100000" sheet="1" objects="1" scenarios="1"/>
  <mergeCells count="6">
    <mergeCell ref="A16:C16"/>
    <mergeCell ref="A17:C18"/>
    <mergeCell ref="A1:C1"/>
    <mergeCell ref="A2:C2"/>
    <mergeCell ref="A4:B5"/>
    <mergeCell ref="A14:B14"/>
  </mergeCells>
  <conditionalFormatting sqref="A17:C18">
    <cfRule type="containsBlanks" dxfId="10" priority="3">
      <formula>LEN(TRIM(A17))=0</formula>
    </cfRule>
  </conditionalFormatting>
  <conditionalFormatting sqref="B21">
    <cfRule type="containsBlanks" dxfId="9" priority="2">
      <formula>LEN(TRIM(B21))=0</formula>
    </cfRule>
  </conditionalFormatting>
  <conditionalFormatting sqref="B24">
    <cfRule type="containsBlanks" dxfId="8" priority="1">
      <formula>LEN(TRIM(B24))=0</formula>
    </cfRule>
  </conditionalFormatting>
  <printOptions horizontalCentered="1"/>
  <pageMargins left="0.39370078740157483" right="0.19685039370078741" top="0.78740157480314965" bottom="0.3937007874015748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4EF93-13C1-4721-8D15-383C05E10D37}">
  <sheetPr>
    <pageSetUpPr fitToPage="1"/>
  </sheetPr>
  <dimension ref="A1:K61"/>
  <sheetViews>
    <sheetView topLeftCell="A10" zoomScale="106" zoomScaleNormal="106" workbookViewId="0">
      <selection activeCell="C21" sqref="C21"/>
    </sheetView>
  </sheetViews>
  <sheetFormatPr defaultColWidth="8.85546875" defaultRowHeight="15"/>
  <cols>
    <col min="1" max="1" width="8.85546875" style="42"/>
    <col min="2" max="2" width="54.5703125" style="42" customWidth="1"/>
    <col min="3" max="3" width="14.140625" style="42" customWidth="1"/>
    <col min="4" max="4" width="13.42578125" style="42" customWidth="1"/>
    <col min="5" max="5" width="14.140625" style="42" customWidth="1"/>
    <col min="6" max="6" width="9.85546875" style="42" bestFit="1" customWidth="1"/>
    <col min="7" max="7" width="8.85546875" style="42"/>
    <col min="8" max="8" width="42.5703125" style="42" hidden="1" customWidth="1"/>
    <col min="9" max="9" width="13.28515625" style="42" hidden="1" customWidth="1"/>
    <col min="10" max="10" width="9.85546875" style="42" hidden="1" customWidth="1"/>
    <col min="11" max="16384" width="8.85546875" style="42"/>
  </cols>
  <sheetData>
    <row r="1" spans="1:11">
      <c r="A1" s="41" t="s">
        <v>103</v>
      </c>
    </row>
    <row r="2" spans="1:11">
      <c r="A2" s="41" t="s">
        <v>104</v>
      </c>
    </row>
    <row r="5" spans="1:11">
      <c r="A5" s="42" t="s">
        <v>105</v>
      </c>
      <c r="C5" s="43"/>
      <c r="E5" s="44">
        <v>50000</v>
      </c>
      <c r="F5" s="86"/>
      <c r="H5" s="41" t="s">
        <v>106</v>
      </c>
    </row>
    <row r="6" spans="1:11">
      <c r="A6" s="42" t="s">
        <v>107</v>
      </c>
      <c r="C6" s="43"/>
      <c r="D6" s="44"/>
      <c r="E6" s="45">
        <f>ROUND(E5/12,2)</f>
        <v>4166.67</v>
      </c>
    </row>
    <row r="7" spans="1:11">
      <c r="A7" s="42" t="s">
        <v>108</v>
      </c>
      <c r="E7" s="46">
        <f>+E5+E6</f>
        <v>54166.67</v>
      </c>
      <c r="H7" s="41" t="s">
        <v>109</v>
      </c>
      <c r="I7" s="46">
        <f>+E5</f>
        <v>50000</v>
      </c>
      <c r="J7" s="86">
        <f>I7/26</f>
        <v>1923.0769230769231</v>
      </c>
    </row>
    <row r="8" spans="1:11">
      <c r="H8" s="42" t="s">
        <v>110</v>
      </c>
    </row>
    <row r="9" spans="1:11">
      <c r="A9" s="41" t="s">
        <v>111</v>
      </c>
      <c r="C9" s="57" t="s">
        <v>112</v>
      </c>
      <c r="D9" s="57" t="s">
        <v>113</v>
      </c>
      <c r="H9" s="47" t="s">
        <v>114</v>
      </c>
      <c r="I9" s="45">
        <f>D16</f>
        <v>2700</v>
      </c>
      <c r="K9" s="42" t="s">
        <v>78</v>
      </c>
    </row>
    <row r="10" spans="1:11" ht="15.95" customHeight="1">
      <c r="A10" s="41"/>
      <c r="B10" s="42" t="s">
        <v>42</v>
      </c>
      <c r="C10" s="108">
        <f>(E5*12/313)*22.5/12</f>
        <v>3594.2492012779553</v>
      </c>
      <c r="D10" s="48">
        <v>0</v>
      </c>
      <c r="H10" s="49" t="s">
        <v>115</v>
      </c>
      <c r="I10" s="50">
        <f>I7-I9</f>
        <v>47300</v>
      </c>
    </row>
    <row r="11" spans="1:11">
      <c r="B11" s="42" t="s">
        <v>116</v>
      </c>
      <c r="C11" s="46">
        <v>1900</v>
      </c>
      <c r="D11" s="48">
        <v>900</v>
      </c>
      <c r="H11" s="47" t="s">
        <v>117</v>
      </c>
      <c r="I11" s="51">
        <f>(I10-33333)*0.2+2500</f>
        <v>5293.4</v>
      </c>
    </row>
    <row r="12" spans="1:11" ht="15.75" thickBot="1">
      <c r="B12" s="42" t="s">
        <v>44</v>
      </c>
      <c r="C12" s="46">
        <v>950</v>
      </c>
      <c r="D12" s="48">
        <v>450</v>
      </c>
      <c r="H12" s="41" t="s">
        <v>118</v>
      </c>
      <c r="I12" s="52">
        <f>ROUND(I10-I11,2)</f>
        <v>42006.6</v>
      </c>
    </row>
    <row r="13" spans="1:11" ht="15.75" thickTop="1">
      <c r="B13" s="42" t="s">
        <v>119</v>
      </c>
      <c r="C13" s="46">
        <f>ROUND(E5*0.05/2,2)</f>
        <v>1250</v>
      </c>
      <c r="D13" s="48">
        <f>C13</f>
        <v>1250</v>
      </c>
    </row>
    <row r="14" spans="1:11">
      <c r="B14" s="42" t="s">
        <v>46</v>
      </c>
      <c r="C14" s="46">
        <v>30</v>
      </c>
      <c r="D14" s="48">
        <v>0</v>
      </c>
      <c r="I14" s="46"/>
    </row>
    <row r="15" spans="1:11">
      <c r="B15" s="42" t="s">
        <v>47</v>
      </c>
      <c r="C15" s="45">
        <v>100</v>
      </c>
      <c r="D15" s="53">
        <v>100</v>
      </c>
      <c r="I15" s="46"/>
    </row>
    <row r="16" spans="1:11">
      <c r="C16" s="84">
        <f>ROUND(SUM(C10:C15),2)</f>
        <v>7824.25</v>
      </c>
      <c r="D16" s="84">
        <f>ROUND(SUM(D10:D15),2)</f>
        <v>2700</v>
      </c>
      <c r="E16" s="85">
        <f>C16</f>
        <v>7824.25</v>
      </c>
      <c r="I16" s="46"/>
    </row>
    <row r="18" spans="1:9">
      <c r="A18" s="41" t="s">
        <v>120</v>
      </c>
      <c r="D18" s="86"/>
      <c r="E18" s="87">
        <f>ROUND(SUM(E7:E16),2)</f>
        <v>61990.92</v>
      </c>
    </row>
    <row r="20" spans="1:9" ht="15.75" thickBot="1">
      <c r="A20" s="41" t="s">
        <v>49</v>
      </c>
    </row>
    <row r="21" spans="1:9" ht="15.75" thickBot="1">
      <c r="B21" s="42" t="s">
        <v>121</v>
      </c>
      <c r="C21" s="94"/>
      <c r="D21" s="86"/>
      <c r="E21" s="107" t="str">
        <f>IF(C21="","-",IF(C21&lt;20%,"ERROR",IF(C21&gt;24%,"ERROR",ROUND(E18*C21,2))))</f>
        <v>-</v>
      </c>
    </row>
    <row r="23" spans="1:9">
      <c r="A23" s="41" t="s">
        <v>122</v>
      </c>
      <c r="C23" s="88"/>
      <c r="D23" s="86"/>
      <c r="E23" s="89" t="e">
        <f>ROUND(E21*0.12,2)</f>
        <v>#VALUE!</v>
      </c>
    </row>
    <row r="25" spans="1:9" ht="15.75" thickBot="1">
      <c r="A25" s="41" t="s">
        <v>123</v>
      </c>
      <c r="C25" s="88"/>
      <c r="D25" s="88"/>
      <c r="E25" s="90" t="e">
        <f>ROUND(E18+E21+E23,2)</f>
        <v>#VALUE!</v>
      </c>
    </row>
    <row r="26" spans="1:9" customFormat="1" ht="15.75" thickTop="1">
      <c r="A26" s="42"/>
      <c r="B26" s="42"/>
      <c r="C26" s="42"/>
      <c r="D26" s="42"/>
      <c r="E26" s="42"/>
      <c r="F26" s="42"/>
      <c r="G26" s="55"/>
      <c r="I26" s="42"/>
    </row>
    <row r="27" spans="1:9" customFormat="1">
      <c r="A27" s="91" t="s">
        <v>124</v>
      </c>
      <c r="F27" s="55"/>
      <c r="G27" s="55"/>
      <c r="I27" s="42"/>
    </row>
    <row r="28" spans="1:9">
      <c r="A28" s="91"/>
      <c r="B28"/>
      <c r="C28"/>
      <c r="D28"/>
      <c r="E28"/>
      <c r="F28" s="55"/>
      <c r="G28" s="55"/>
      <c r="H28"/>
    </row>
    <row r="29" spans="1:9">
      <c r="A29" t="s">
        <v>125</v>
      </c>
      <c r="B29"/>
      <c r="C29"/>
      <c r="D29"/>
      <c r="E29" s="92">
        <v>1</v>
      </c>
      <c r="F29" s="55"/>
      <c r="G29" s="55"/>
      <c r="H29"/>
    </row>
    <row r="30" spans="1:9">
      <c r="A30"/>
      <c r="B30"/>
      <c r="C30"/>
      <c r="D30"/>
      <c r="E30"/>
      <c r="F30" s="55"/>
      <c r="G30" s="55"/>
      <c r="H30"/>
    </row>
    <row r="31" spans="1:9" ht="15.75" thickBot="1">
      <c r="A31" t="s">
        <v>126</v>
      </c>
      <c r="B31"/>
      <c r="C31"/>
      <c r="D31"/>
      <c r="E31" s="93" t="e">
        <f>ROUND(E25*E29*12,2)</f>
        <v>#VALUE!</v>
      </c>
      <c r="F31" s="55"/>
      <c r="H31" s="86"/>
      <c r="I31" s="86"/>
    </row>
    <row r="32" spans="1:9" ht="15.75" thickTop="1">
      <c r="B32" s="41"/>
    </row>
    <row r="34" spans="1:5">
      <c r="B34" s="41"/>
    </row>
    <row r="35" spans="1:5">
      <c r="A35" s="54"/>
      <c r="D35" s="54"/>
      <c r="E35" s="54"/>
    </row>
    <row r="36" spans="1:5">
      <c r="D36" s="54"/>
      <c r="E36" s="54"/>
    </row>
    <row r="37" spans="1:5">
      <c r="D37" s="54"/>
      <c r="E37" s="54"/>
    </row>
    <row r="38" spans="1:5" ht="23.25" customHeight="1">
      <c r="D38" s="54"/>
      <c r="E38" s="54"/>
    </row>
    <row r="39" spans="1:5">
      <c r="D39" s="54"/>
      <c r="E39" s="54"/>
    </row>
    <row r="40" spans="1:5">
      <c r="D40" s="54"/>
      <c r="E40" s="54"/>
    </row>
    <row r="41" spans="1:5">
      <c r="C41" s="54"/>
      <c r="D41" s="54"/>
      <c r="E41" s="54"/>
    </row>
    <row r="42" spans="1:5">
      <c r="A42" s="54"/>
      <c r="B42" s="54"/>
      <c r="C42" s="54"/>
      <c r="D42" s="54"/>
      <c r="E42" s="54"/>
    </row>
    <row r="43" spans="1:5">
      <c r="A43" s="54"/>
      <c r="B43" s="54"/>
      <c r="C43" s="54"/>
      <c r="D43" s="54"/>
      <c r="E43" s="54"/>
    </row>
    <row r="44" spans="1:5">
      <c r="A44" s="54"/>
      <c r="B44" s="54"/>
      <c r="C44" s="54"/>
      <c r="D44" s="54"/>
      <c r="E44" s="54"/>
    </row>
    <row r="45" spans="1:5">
      <c r="A45" s="54"/>
      <c r="B45" s="54"/>
      <c r="C45" s="54"/>
      <c r="D45" s="54"/>
      <c r="E45" s="54"/>
    </row>
    <row r="46" spans="1:5">
      <c r="A46" s="54"/>
      <c r="B46" s="54"/>
      <c r="C46" s="54"/>
      <c r="D46" s="54"/>
      <c r="E46" s="54"/>
    </row>
    <row r="47" spans="1:5">
      <c r="A47" s="54"/>
      <c r="B47" s="54"/>
      <c r="C47" s="54"/>
      <c r="D47" s="54"/>
      <c r="E47" s="54"/>
    </row>
    <row r="48" spans="1:5">
      <c r="A48" s="54"/>
      <c r="B48" s="54"/>
      <c r="C48" s="54"/>
      <c r="D48" s="54"/>
      <c r="E48" s="54"/>
    </row>
    <row r="49" spans="1:5">
      <c r="A49" s="54"/>
      <c r="B49" s="54"/>
      <c r="C49" s="54"/>
      <c r="D49" s="54"/>
      <c r="E49" s="54"/>
    </row>
    <row r="50" spans="1:5">
      <c r="A50" s="54"/>
      <c r="B50" s="54"/>
      <c r="C50" s="54"/>
      <c r="D50" s="54"/>
      <c r="E50" s="54"/>
    </row>
    <row r="51" spans="1:5">
      <c r="A51" s="54"/>
      <c r="B51" s="54"/>
      <c r="C51" s="54"/>
      <c r="D51" s="54"/>
      <c r="E51" s="54"/>
    </row>
    <row r="52" spans="1:5">
      <c r="A52" s="54"/>
      <c r="B52" s="54"/>
      <c r="C52" s="54"/>
      <c r="D52" s="54"/>
      <c r="E52" s="54"/>
    </row>
    <row r="53" spans="1:5">
      <c r="A53" s="54"/>
      <c r="B53" s="54"/>
      <c r="C53" s="54"/>
      <c r="D53" s="54"/>
      <c r="E53" s="54"/>
    </row>
    <row r="54" spans="1:5">
      <c r="A54" s="54"/>
      <c r="B54" s="54"/>
      <c r="C54" s="54"/>
      <c r="D54" s="54"/>
      <c r="E54" s="54"/>
    </row>
    <row r="55" spans="1:5" ht="14.45" customHeight="1">
      <c r="A55" s="54"/>
      <c r="B55" s="54"/>
      <c r="C55" s="54"/>
      <c r="D55" s="54"/>
      <c r="E55" s="54"/>
    </row>
    <row r="56" spans="1:5">
      <c r="A56" s="54"/>
      <c r="B56" s="54"/>
      <c r="C56" s="54"/>
      <c r="D56" s="54"/>
      <c r="E56" s="54"/>
    </row>
    <row r="57" spans="1:5">
      <c r="A57" s="54"/>
      <c r="B57" s="54"/>
      <c r="C57" s="54"/>
      <c r="D57" s="54"/>
      <c r="E57" s="54"/>
    </row>
    <row r="58" spans="1:5">
      <c r="A58" s="54"/>
      <c r="B58" s="54"/>
      <c r="C58" s="54"/>
      <c r="D58" s="54"/>
      <c r="E58" s="54"/>
    </row>
    <row r="59" spans="1:5">
      <c r="A59" s="54"/>
      <c r="B59" s="54"/>
      <c r="C59" s="54"/>
      <c r="D59" s="54"/>
      <c r="E59" s="54"/>
    </row>
    <row r="60" spans="1:5">
      <c r="A60" s="54"/>
      <c r="B60" s="54"/>
      <c r="C60" s="54"/>
      <c r="D60" s="54"/>
      <c r="E60" s="54"/>
    </row>
    <row r="61" spans="1:5">
      <c r="A61" s="54"/>
      <c r="B61" s="54"/>
      <c r="C61" s="54"/>
      <c r="D61" s="54"/>
      <c r="E61" s="54"/>
    </row>
  </sheetData>
  <sheetProtection algorithmName="SHA-512" hashValue="J8twOzJGeVX+mEgv/QDghhieYwapiPiu8ihpE7QF794Kf7wgaBWA3F08JDWzZ+EGkCzY7Lz+kTnSQar1gZJnEg==" saltValue="w826H7UpCajG6ctxoAQ/wA==" spinCount="100000" sheet="1" objects="1" scenarios="1"/>
  <conditionalFormatting sqref="C21">
    <cfRule type="containsBlanks" dxfId="0" priority="1">
      <formula>LEN(TRIM(C21))=0</formula>
    </cfRule>
  </conditionalFormatting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8A649-59D8-434B-A0B1-F1A147C5F893}">
  <sheetPr>
    <pageSetUpPr fitToPage="1"/>
  </sheetPr>
  <dimension ref="A2:Q70"/>
  <sheetViews>
    <sheetView topLeftCell="A27" zoomScale="98" zoomScaleNormal="98" workbookViewId="0">
      <selection activeCell="D36" sqref="D36"/>
    </sheetView>
  </sheetViews>
  <sheetFormatPr defaultColWidth="9.140625" defaultRowHeight="15.75"/>
  <cols>
    <col min="1" max="1" width="4.5703125" style="1" customWidth="1"/>
    <col min="2" max="2" width="27.140625" style="1" customWidth="1"/>
    <col min="3" max="3" width="32.42578125" style="1" customWidth="1"/>
    <col min="4" max="4" width="7.85546875" style="1" customWidth="1"/>
    <col min="5" max="5" width="4.140625" style="1" customWidth="1"/>
    <col min="6" max="6" width="18.140625" style="1" hidden="1" customWidth="1"/>
    <col min="7" max="7" width="18" style="1" hidden="1" customWidth="1"/>
    <col min="8" max="8" width="3.42578125" style="2" hidden="1" customWidth="1"/>
    <col min="9" max="9" width="20.42578125" style="1" customWidth="1"/>
    <col min="10" max="11" width="21.140625" style="1" customWidth="1"/>
    <col min="12" max="12" width="2.5703125" style="1" customWidth="1"/>
    <col min="13" max="13" width="14.85546875" style="1" bestFit="1" customWidth="1"/>
    <col min="14" max="14" width="11.42578125" style="1" bestFit="1" customWidth="1"/>
    <col min="15" max="15" width="11.85546875" style="1" bestFit="1" customWidth="1"/>
    <col min="16" max="16" width="11.5703125" style="1" customWidth="1"/>
    <col min="17" max="16384" width="9.140625" style="1"/>
  </cols>
  <sheetData>
    <row r="2" spans="1:11">
      <c r="A2" s="117" t="s">
        <v>19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</row>
    <row r="3" spans="1:11">
      <c r="A3" s="118" t="s">
        <v>20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</row>
    <row r="4" spans="1:11">
      <c r="A4" s="118" t="s">
        <v>21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</row>
    <row r="6" spans="1:11" ht="18" customHeight="1">
      <c r="F6" s="117" t="s">
        <v>22</v>
      </c>
      <c r="G6" s="117"/>
      <c r="H6" s="8"/>
      <c r="I6" s="117" t="s">
        <v>23</v>
      </c>
      <c r="J6" s="117"/>
      <c r="K6" s="117"/>
    </row>
    <row r="7" spans="1:11" ht="18" customHeight="1">
      <c r="A7" s="1" t="s">
        <v>24</v>
      </c>
      <c r="F7" s="2" t="s">
        <v>25</v>
      </c>
      <c r="G7" s="2" t="s">
        <v>25</v>
      </c>
      <c r="I7" s="2" t="s">
        <v>25</v>
      </c>
      <c r="J7" s="2" t="s">
        <v>25</v>
      </c>
      <c r="K7" s="2" t="s">
        <v>25</v>
      </c>
    </row>
    <row r="8" spans="1:11" ht="18" customHeight="1">
      <c r="A8" s="1" t="s">
        <v>26</v>
      </c>
      <c r="F8" s="2">
        <v>313</v>
      </c>
      <c r="G8" s="2">
        <v>313</v>
      </c>
      <c r="I8" s="2">
        <v>313</v>
      </c>
      <c r="J8" s="2">
        <v>313</v>
      </c>
      <c r="K8" s="2">
        <v>313</v>
      </c>
    </row>
    <row r="9" spans="1:11" ht="18" customHeight="1">
      <c r="F9" s="2" t="s">
        <v>27</v>
      </c>
      <c r="G9" s="2" t="s">
        <v>27</v>
      </c>
      <c r="I9" s="2" t="s">
        <v>28</v>
      </c>
      <c r="J9" s="2" t="s">
        <v>28</v>
      </c>
      <c r="K9" s="2" t="s">
        <v>28</v>
      </c>
    </row>
    <row r="10" spans="1:11" ht="18" customHeight="1">
      <c r="F10" s="2" t="s">
        <v>29</v>
      </c>
      <c r="G10" s="2" t="s">
        <v>30</v>
      </c>
      <c r="I10" s="2" t="s">
        <v>29</v>
      </c>
      <c r="J10" s="2" t="s">
        <v>30</v>
      </c>
      <c r="K10" s="2" t="s">
        <v>31</v>
      </c>
    </row>
    <row r="11" spans="1:11" ht="18" customHeight="1"/>
    <row r="12" spans="1:11" ht="18" customHeight="1">
      <c r="A12" s="11" t="s">
        <v>32</v>
      </c>
    </row>
    <row r="13" spans="1:11" ht="18" customHeight="1">
      <c r="A13" s="1" t="s">
        <v>33</v>
      </c>
      <c r="E13" s="2" t="s">
        <v>34</v>
      </c>
      <c r="F13" s="79">
        <v>610</v>
      </c>
      <c r="G13" s="79">
        <v>610</v>
      </c>
      <c r="H13" s="2" t="s">
        <v>34</v>
      </c>
      <c r="I13" s="79">
        <v>610</v>
      </c>
      <c r="J13" s="79">
        <v>610</v>
      </c>
      <c r="K13" s="79">
        <v>610</v>
      </c>
    </row>
    <row r="14" spans="1:11" ht="18" customHeight="1"/>
    <row r="15" spans="1:11">
      <c r="A15" s="1" t="s">
        <v>35</v>
      </c>
      <c r="F15" s="58">
        <f>ROUND((F13*F8/12),2)</f>
        <v>15910.83</v>
      </c>
      <c r="G15" s="58">
        <f>ROUND((G13*G8/12),2)</f>
        <v>15910.83</v>
      </c>
      <c r="H15" s="59"/>
      <c r="I15" s="58">
        <f>ROUND((I13*I8/12),2)</f>
        <v>15910.83</v>
      </c>
      <c r="J15" s="58">
        <f>ROUND((J13*J8/12),2)</f>
        <v>15910.83</v>
      </c>
      <c r="K15" s="58">
        <f>ROUND((K13*K8/12),2)</f>
        <v>15910.83</v>
      </c>
    </row>
    <row r="16" spans="1:11" ht="19.5" customHeight="1">
      <c r="A16" s="1" t="s">
        <v>36</v>
      </c>
      <c r="F16" s="58">
        <v>0</v>
      </c>
      <c r="G16" s="58">
        <f>G15*10%*1/3</f>
        <v>530.36099999999999</v>
      </c>
      <c r="H16" s="59"/>
      <c r="I16" s="58">
        <v>0</v>
      </c>
      <c r="J16" s="58">
        <f>ROUND(+J15*10%*1/2,2)</f>
        <v>795.54</v>
      </c>
      <c r="K16" s="58">
        <f>ROUND(+K15*10%*1/2,2)</f>
        <v>795.54</v>
      </c>
    </row>
    <row r="17" spans="1:17" ht="18" customHeight="1">
      <c r="A17" s="1" t="s">
        <v>37</v>
      </c>
      <c r="F17" s="58">
        <f>ROUND((F13*365/12/12),2)</f>
        <v>1546.18</v>
      </c>
      <c r="G17" s="58">
        <f>ROUND((G13*365/12/12),2)</f>
        <v>1546.18</v>
      </c>
      <c r="H17" s="59"/>
      <c r="I17" s="58">
        <f>ROUND((I13*365/12/12),2)</f>
        <v>1546.18</v>
      </c>
      <c r="J17" s="58">
        <f>ROUND((J13*365/12/12),2)</f>
        <v>1546.18</v>
      </c>
      <c r="K17" s="58">
        <f>ROUND((K13*365/12/12),2)</f>
        <v>1546.18</v>
      </c>
    </row>
    <row r="18" spans="1:17" ht="18" customHeight="1">
      <c r="A18" s="1" t="s">
        <v>38</v>
      </c>
      <c r="F18" s="58">
        <f>+F13*(5/12)</f>
        <v>254.16666666666669</v>
      </c>
      <c r="G18" s="58">
        <f>+G13*(5/12)</f>
        <v>254.16666666666669</v>
      </c>
      <c r="H18" s="59"/>
      <c r="I18" s="14">
        <f>ROUND(I13*(5/12),2)</f>
        <v>254.17</v>
      </c>
      <c r="J18" s="14">
        <f>ROUND(J13*(5/12),2)</f>
        <v>254.17</v>
      </c>
      <c r="K18" s="14">
        <f>ROUND(K13*(5/12),2)</f>
        <v>254.17</v>
      </c>
    </row>
    <row r="19" spans="1:17" ht="18" customHeight="1">
      <c r="A19" s="1" t="s">
        <v>39</v>
      </c>
      <c r="F19" s="58">
        <v>100</v>
      </c>
      <c r="G19" s="58">
        <v>100</v>
      </c>
      <c r="H19" s="59"/>
      <c r="I19" s="15">
        <v>100</v>
      </c>
      <c r="J19" s="58">
        <v>100</v>
      </c>
      <c r="K19" s="58">
        <v>100</v>
      </c>
    </row>
    <row r="20" spans="1:17" ht="21" customHeight="1">
      <c r="A20" s="1" t="s">
        <v>40</v>
      </c>
      <c r="F20" s="80">
        <v>0</v>
      </c>
      <c r="G20" s="80">
        <f>0*377/12</f>
        <v>0</v>
      </c>
      <c r="H20" s="81"/>
      <c r="I20" s="82">
        <f>+F52</f>
        <v>10423.120833333332</v>
      </c>
      <c r="J20" s="82">
        <f>+J52</f>
        <v>11465.433333333334</v>
      </c>
      <c r="K20" s="82">
        <f>+K52</f>
        <v>11465.433333333334</v>
      </c>
    </row>
    <row r="21" spans="1:17" ht="18" customHeight="1">
      <c r="F21" s="14">
        <f>SUM(F15:F20)</f>
        <v>17811.176666666666</v>
      </c>
      <c r="G21" s="14">
        <f>SUM(G15:G20)</f>
        <v>18341.537666666667</v>
      </c>
      <c r="H21" s="19"/>
      <c r="I21" s="14">
        <f>ROUND(SUM(I15:I20),2)</f>
        <v>28234.3</v>
      </c>
      <c r="J21" s="14">
        <f>ROUND(SUM(J15:J20),2)</f>
        <v>30072.15</v>
      </c>
      <c r="K21" s="14">
        <f>ROUND(SUM(K15:K20),2)</f>
        <v>30072.15</v>
      </c>
      <c r="M21" s="7"/>
      <c r="N21" s="7"/>
      <c r="O21" s="7"/>
    </row>
    <row r="22" spans="1:17" ht="18" customHeight="1">
      <c r="F22" s="14"/>
    </row>
    <row r="23" spans="1:17" ht="18" customHeight="1">
      <c r="A23" s="11" t="s">
        <v>41</v>
      </c>
    </row>
    <row r="24" spans="1:17" ht="18" customHeight="1">
      <c r="A24" s="1" t="s">
        <v>42</v>
      </c>
      <c r="F24" s="63">
        <f>+F13*22.5/12</f>
        <v>1143.75</v>
      </c>
      <c r="G24" s="63">
        <f>+G13*22.5/12</f>
        <v>1143.75</v>
      </c>
      <c r="H24" s="59"/>
      <c r="I24" s="58">
        <f>ROUND(+I13*22.5/12,2)</f>
        <v>1143.75</v>
      </c>
      <c r="J24" s="58">
        <f>ROUND(+J13*22.5/12,2)</f>
        <v>1143.75</v>
      </c>
      <c r="K24" s="58">
        <f>ROUND(+K13*22.5/12,2)</f>
        <v>1143.75</v>
      </c>
    </row>
    <row r="25" spans="1:17" ht="18" customHeight="1">
      <c r="A25" s="1" t="s">
        <v>43</v>
      </c>
      <c r="F25" s="63">
        <v>1567.5</v>
      </c>
      <c r="G25" s="63">
        <v>1615</v>
      </c>
      <c r="H25" s="59"/>
      <c r="I25" s="63">
        <v>1900</v>
      </c>
      <c r="J25" s="63">
        <v>1900</v>
      </c>
      <c r="K25" s="63">
        <v>1900</v>
      </c>
      <c r="O25" s="7"/>
      <c r="P25" s="7"/>
      <c r="Q25" s="7"/>
    </row>
    <row r="26" spans="1:17" ht="18" customHeight="1">
      <c r="A26" s="1" t="s">
        <v>44</v>
      </c>
      <c r="F26" s="63">
        <v>0</v>
      </c>
      <c r="G26" s="63">
        <v>0</v>
      </c>
      <c r="H26" s="59"/>
      <c r="I26" s="63">
        <v>617.5</v>
      </c>
      <c r="J26" s="63">
        <v>807.5</v>
      </c>
      <c r="K26" s="63">
        <v>807.5</v>
      </c>
    </row>
    <row r="27" spans="1:17" ht="18" customHeight="1">
      <c r="A27" s="1" t="s">
        <v>45</v>
      </c>
      <c r="F27" s="63">
        <f>(F15*0.05)/2</f>
        <v>397.77075000000002</v>
      </c>
      <c r="G27" s="63">
        <f>(G15*0.05)/2</f>
        <v>397.77075000000002</v>
      </c>
      <c r="H27" s="59"/>
      <c r="I27" s="58">
        <f>ROUND((I15*0.05/2),2)</f>
        <v>397.77</v>
      </c>
      <c r="J27" s="58">
        <f t="shared" ref="J27:K27" si="0">ROUND((J15*0.05/2),2)</f>
        <v>397.77</v>
      </c>
      <c r="K27" s="58">
        <f t="shared" si="0"/>
        <v>397.77</v>
      </c>
    </row>
    <row r="28" spans="1:17" ht="18" customHeight="1">
      <c r="A28" s="1" t="s">
        <v>46</v>
      </c>
      <c r="F28" s="63">
        <v>30</v>
      </c>
      <c r="G28" s="63">
        <v>30</v>
      </c>
      <c r="H28" s="59"/>
      <c r="I28" s="58">
        <v>30</v>
      </c>
      <c r="J28" s="58">
        <v>30</v>
      </c>
      <c r="K28" s="58">
        <v>30</v>
      </c>
    </row>
    <row r="29" spans="1:17" ht="18" customHeight="1">
      <c r="A29" s="1" t="s">
        <v>47</v>
      </c>
      <c r="F29" s="64">
        <v>100</v>
      </c>
      <c r="G29" s="64">
        <v>100</v>
      </c>
      <c r="H29" s="61"/>
      <c r="I29" s="60">
        <v>100</v>
      </c>
      <c r="J29" s="60">
        <v>100</v>
      </c>
      <c r="K29" s="60">
        <v>100</v>
      </c>
    </row>
    <row r="30" spans="1:17" ht="18" customHeight="1">
      <c r="F30" s="22">
        <f>SUM(F24:F29)</f>
        <v>3239.0207500000001</v>
      </c>
      <c r="G30" s="22">
        <f>SUM(G24:G29)</f>
        <v>3286.5207500000001</v>
      </c>
      <c r="H30" s="19"/>
      <c r="I30" s="14">
        <f>ROUND(SUM(I24:I29),2)</f>
        <v>4189.0200000000004</v>
      </c>
      <c r="J30" s="14">
        <f>ROUND(SUM(J24:J29),2)</f>
        <v>4379.0200000000004</v>
      </c>
      <c r="K30" s="14">
        <f>ROUND(SUM(K24:K29),2)</f>
        <v>4379.0200000000004</v>
      </c>
    </row>
    <row r="31" spans="1:17" ht="18" customHeight="1"/>
    <row r="32" spans="1:17" ht="18" customHeight="1">
      <c r="F32" s="11"/>
      <c r="G32" s="11"/>
      <c r="H32" s="8"/>
    </row>
    <row r="33" spans="1:13" ht="18" customHeight="1">
      <c r="A33" s="11" t="s">
        <v>48</v>
      </c>
      <c r="E33" s="2" t="s">
        <v>34</v>
      </c>
      <c r="F33" s="23">
        <f>+F21+F30</f>
        <v>21050.197416666666</v>
      </c>
      <c r="G33" s="23">
        <f>+G21+G30</f>
        <v>21628.058416666667</v>
      </c>
      <c r="H33" s="2" t="s">
        <v>34</v>
      </c>
      <c r="I33" s="23">
        <f>ROUND(+I30+I21,2)</f>
        <v>32423.32</v>
      </c>
      <c r="J33" s="23">
        <f>ROUND(+J30+J21,2)</f>
        <v>34451.17</v>
      </c>
      <c r="K33" s="23">
        <f>ROUND(+K30+K21,2)</f>
        <v>34451.17</v>
      </c>
    </row>
    <row r="34" spans="1:13" ht="18" customHeight="1"/>
    <row r="35" spans="1:13" ht="18" customHeight="1" thickBot="1">
      <c r="A35" s="11" t="s">
        <v>49</v>
      </c>
    </row>
    <row r="36" spans="1:13">
      <c r="A36" s="116" t="s">
        <v>50</v>
      </c>
      <c r="B36" s="116"/>
      <c r="C36" s="116"/>
      <c r="D36" s="78"/>
      <c r="F36" s="65">
        <f>+F33*24%</f>
        <v>5052.04738</v>
      </c>
      <c r="G36" s="65">
        <f>+G33*24%</f>
        <v>5190.7340199999999</v>
      </c>
      <c r="H36" s="66"/>
      <c r="I36" s="106" t="str">
        <f>IF(D36="","-",IF(D36&lt;20%,"ERROR",IF(D36&gt;24%,"ERROR",ROUND(I33*D36,2))))</f>
        <v>-</v>
      </c>
      <c r="J36" s="106" t="str">
        <f>IF(D36="","-",IF(D36&lt;20%,"ERROR",IF(D36&gt;24%,"ERROR",ROUND(J33*D36,2))))</f>
        <v>-</v>
      </c>
      <c r="K36" s="106" t="str">
        <f>IF(D36="","-",IF(D36&lt;20%,"ERROR",IF(D36&gt;24%,"ERROR",ROUND(K33*D36,2))))</f>
        <v>-</v>
      </c>
    </row>
    <row r="37" spans="1:13" ht="18" customHeight="1">
      <c r="F37" s="11"/>
      <c r="G37" s="11"/>
      <c r="H37" s="8"/>
      <c r="I37" s="11"/>
      <c r="J37" s="11"/>
      <c r="K37" s="11"/>
    </row>
    <row r="38" spans="1:13" ht="18" customHeight="1">
      <c r="A38" s="11" t="s">
        <v>51</v>
      </c>
      <c r="F38" s="65">
        <f>+F36*0.12</f>
        <v>606.2456856</v>
      </c>
      <c r="G38" s="65">
        <f>+G36*0.12</f>
        <v>622.88808239999992</v>
      </c>
      <c r="H38" s="66"/>
      <c r="I38" s="65" t="e">
        <f>ROUND(+I36*0.12,2)</f>
        <v>#VALUE!</v>
      </c>
      <c r="J38" s="65" t="e">
        <f>ROUND(+J36*0.12,2)</f>
        <v>#VALUE!</v>
      </c>
      <c r="K38" s="65" t="e">
        <f>ROUND(+K36*0.12,2)</f>
        <v>#VALUE!</v>
      </c>
    </row>
    <row r="39" spans="1:13" ht="18" customHeight="1"/>
    <row r="40" spans="1:13" ht="18" customHeight="1" thickBot="1">
      <c r="A40" s="11" t="s">
        <v>52</v>
      </c>
      <c r="E40" s="2" t="s">
        <v>34</v>
      </c>
      <c r="F40" s="67">
        <f>+F33+F36+F38</f>
        <v>26708.490482266665</v>
      </c>
      <c r="G40" s="67">
        <f>+G33+G36+G38</f>
        <v>27441.680519066667</v>
      </c>
      <c r="H40" s="2" t="s">
        <v>34</v>
      </c>
      <c r="I40" s="27" t="e">
        <f>ROUND(I33+I36+I38,2)</f>
        <v>#VALUE!</v>
      </c>
      <c r="J40" s="27" t="e">
        <f>ROUND(J33+J36+J38,2)</f>
        <v>#VALUE!</v>
      </c>
      <c r="K40" s="27" t="e">
        <f>ROUND(K33+K36+K38,2)</f>
        <v>#VALUE!</v>
      </c>
    </row>
    <row r="41" spans="1:13" ht="18" customHeight="1" thickTop="1"/>
    <row r="42" spans="1:13">
      <c r="A42" s="11" t="s">
        <v>53</v>
      </c>
    </row>
    <row r="43" spans="1:13" hidden="1">
      <c r="F43" s="58"/>
      <c r="G43" s="58"/>
      <c r="H43" s="59"/>
    </row>
    <row r="44" spans="1:13" hidden="1">
      <c r="B44" s="1" t="s">
        <v>54</v>
      </c>
      <c r="F44" s="14"/>
      <c r="G44" s="14"/>
      <c r="H44" s="19"/>
      <c r="I44" s="1" t="s">
        <v>55</v>
      </c>
    </row>
    <row r="45" spans="1:13" hidden="1"/>
    <row r="46" spans="1:13" hidden="1">
      <c r="B46" s="1" t="s">
        <v>56</v>
      </c>
      <c r="C46" s="19">
        <f>F13/8</f>
        <v>76.25</v>
      </c>
      <c r="D46" s="19"/>
      <c r="I46" s="1" t="s">
        <v>56</v>
      </c>
      <c r="J46" s="19">
        <f>J13/8</f>
        <v>76.25</v>
      </c>
      <c r="K46" s="19">
        <f>K13/8</f>
        <v>76.25</v>
      </c>
      <c r="M46" s="36"/>
    </row>
    <row r="47" spans="1:13" hidden="1">
      <c r="A47" s="2">
        <v>295</v>
      </c>
      <c r="B47" s="1" t="s">
        <v>57</v>
      </c>
      <c r="F47" s="58">
        <f>ROUND((C46*1.25*A47*4),2)</f>
        <v>112468.75</v>
      </c>
      <c r="I47" s="1" t="s">
        <v>58</v>
      </c>
      <c r="J47" s="68">
        <f>ROUND((J46*1.375*A47*4),2)</f>
        <v>123715.63</v>
      </c>
      <c r="K47" s="68">
        <f>ROUND((K46*1.375*A47*4),2)</f>
        <v>123715.63</v>
      </c>
    </row>
    <row r="48" spans="1:13" hidden="1">
      <c r="A48" s="2">
        <v>12</v>
      </c>
      <c r="B48" s="1" t="s">
        <v>59</v>
      </c>
      <c r="F48" s="58">
        <f>ROUND((C46*2.6*A48*4),2)</f>
        <v>9516</v>
      </c>
      <c r="I48" s="1" t="s">
        <v>60</v>
      </c>
      <c r="J48" s="68">
        <f>ROUND((J46*2.86*A48*4),2)</f>
        <v>10467.6</v>
      </c>
      <c r="K48" s="68">
        <f>ROUND((K46*2.86*A48*4),2)</f>
        <v>10467.6</v>
      </c>
    </row>
    <row r="49" spans="1:11" hidden="1">
      <c r="A49" s="2">
        <v>6</v>
      </c>
      <c r="B49" s="1" t="s">
        <v>61</v>
      </c>
      <c r="F49" s="58">
        <f>ROUND((C46*1.69*A49*4),2)</f>
        <v>3092.7</v>
      </c>
      <c r="I49" s="1" t="s">
        <v>62</v>
      </c>
      <c r="J49" s="62">
        <f>ROUND((J46*1.859*A49*4),2)</f>
        <v>3401.97</v>
      </c>
      <c r="K49" s="62">
        <f>ROUND((K46*1.859*A49*4),2)</f>
        <v>3401.97</v>
      </c>
    </row>
    <row r="50" spans="1:11" hidden="1">
      <c r="F50" s="29">
        <f>SUM(F47:F49)</f>
        <v>125077.45</v>
      </c>
      <c r="J50" s="68">
        <f>SUM(J47:J49)</f>
        <v>137585.20000000001</v>
      </c>
      <c r="K50" s="68">
        <f>SUM(K47:K49)</f>
        <v>137585.20000000001</v>
      </c>
    </row>
    <row r="51" spans="1:11" hidden="1">
      <c r="B51" s="1" t="s">
        <v>63</v>
      </c>
      <c r="F51" s="30">
        <v>12</v>
      </c>
      <c r="I51" s="1" t="s">
        <v>64</v>
      </c>
      <c r="J51" s="30">
        <v>12</v>
      </c>
      <c r="K51" s="30">
        <v>12</v>
      </c>
    </row>
    <row r="52" spans="1:11" ht="16.5" hidden="1" thickBot="1">
      <c r="B52" s="1" t="s">
        <v>65</v>
      </c>
      <c r="F52" s="67">
        <f>F50/F51</f>
        <v>10423.120833333332</v>
      </c>
      <c r="I52" s="1" t="s">
        <v>66</v>
      </c>
      <c r="J52" s="31">
        <f>J50/J51</f>
        <v>11465.433333333334</v>
      </c>
      <c r="K52" s="31">
        <f>K50/K51</f>
        <v>11465.433333333334</v>
      </c>
    </row>
    <row r="53" spans="1:11" ht="16.5" hidden="1" thickTop="1"/>
    <row r="54" spans="1:11" hidden="1">
      <c r="B54" s="11" t="s">
        <v>67</v>
      </c>
      <c r="F54" s="14"/>
      <c r="I54" s="11"/>
    </row>
    <row r="55" spans="1:11" ht="15" hidden="1" customHeight="1">
      <c r="B55" s="1" t="s">
        <v>68</v>
      </c>
    </row>
    <row r="56" spans="1:11" hidden="1">
      <c r="B56" s="1" t="s">
        <v>69</v>
      </c>
    </row>
    <row r="57" spans="1:11" hidden="1"/>
    <row r="58" spans="1:11" hidden="1"/>
    <row r="59" spans="1:11" ht="18" hidden="1" customHeight="1" thickBot="1">
      <c r="B59" s="1" t="s">
        <v>70</v>
      </c>
      <c r="F59" s="69">
        <f>F21-F17</f>
        <v>16264.996666666666</v>
      </c>
      <c r="G59" s="69">
        <f>G21-G17</f>
        <v>16795.357666666667</v>
      </c>
      <c r="H59" s="70"/>
      <c r="I59" s="34">
        <f>I21-I17</f>
        <v>26688.12</v>
      </c>
      <c r="J59" s="34">
        <f>J21-J17</f>
        <v>28525.97</v>
      </c>
      <c r="K59" s="34">
        <f>K21-K17</f>
        <v>28525.97</v>
      </c>
    </row>
    <row r="60" spans="1:11" ht="16.5" hidden="1" thickTop="1"/>
    <row r="61" spans="1:11" hidden="1"/>
    <row r="63" spans="1:11">
      <c r="A63" s="1" t="s">
        <v>71</v>
      </c>
      <c r="I63" s="71">
        <v>5</v>
      </c>
      <c r="J63" s="71">
        <v>3</v>
      </c>
      <c r="K63" s="71">
        <v>2</v>
      </c>
    </row>
    <row r="64" spans="1:11">
      <c r="I64" s="72"/>
      <c r="J64" s="72"/>
      <c r="K64" s="72"/>
    </row>
    <row r="65" spans="1:13">
      <c r="A65" s="1" t="s">
        <v>72</v>
      </c>
      <c r="I65" s="72" t="e">
        <f>ROUND(I63*I40,2)</f>
        <v>#VALUE!</v>
      </c>
      <c r="J65" s="72" t="e">
        <f>ROUND(J63*J40,2)</f>
        <v>#VALUE!</v>
      </c>
      <c r="K65" s="72" t="e">
        <f>ROUND(K63*K40,2)</f>
        <v>#VALUE!</v>
      </c>
    </row>
    <row r="67" spans="1:13" ht="16.5" thickBot="1">
      <c r="A67" s="1" t="s">
        <v>73</v>
      </c>
      <c r="F67" s="73"/>
      <c r="G67" s="73"/>
      <c r="H67" s="74"/>
      <c r="I67" s="75" t="e">
        <f>ROUND(I65*12,2)</f>
        <v>#VALUE!</v>
      </c>
      <c r="J67" s="75" t="e">
        <f>ROUND(J65*12,2)</f>
        <v>#VALUE!</v>
      </c>
      <c r="K67" s="75" t="e">
        <f>ROUND(K65*12,2)</f>
        <v>#VALUE!</v>
      </c>
      <c r="M67" s="7"/>
    </row>
    <row r="68" spans="1:13" ht="16.5" thickTop="1"/>
    <row r="69" spans="1:13" ht="19.5" thickBot="1">
      <c r="J69" s="76"/>
      <c r="K69" s="77" t="e">
        <f>SUM(I67:K67)</f>
        <v>#VALUE!</v>
      </c>
    </row>
    <row r="70" spans="1:13" ht="16.5" thickTop="1"/>
  </sheetData>
  <sheetProtection algorithmName="SHA-512" hashValue="Ub0t2J+kM6D1RE4El0Qo+e/A9s6uXtpBa0bjM8fcZrSJKR2fbwSXCRGrl71/Dng/bvGXhZzavFIwMiJle2AR3w==" saltValue="HBKN6h3UNwdvdMbTuIDUhw==" spinCount="100000" sheet="1" objects="1" scenarios="1"/>
  <mergeCells count="6">
    <mergeCell ref="A36:C36"/>
    <mergeCell ref="F6:G6"/>
    <mergeCell ref="I6:K6"/>
    <mergeCell ref="A2:K2"/>
    <mergeCell ref="A3:K3"/>
    <mergeCell ref="A4:K4"/>
  </mergeCells>
  <conditionalFormatting sqref="D36">
    <cfRule type="containsBlanks" dxfId="7" priority="1">
      <formula>LEN(TRIM(D36))=0</formula>
    </cfRule>
  </conditionalFormatting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2FFC8-B709-48FD-9A4F-C0AF1379635D}">
  <sheetPr>
    <pageSetUpPr fitToPage="1"/>
  </sheetPr>
  <dimension ref="A2:Q70"/>
  <sheetViews>
    <sheetView topLeftCell="A26" zoomScale="106" zoomScaleNormal="106" workbookViewId="0">
      <selection activeCell="D36" sqref="D36"/>
    </sheetView>
  </sheetViews>
  <sheetFormatPr defaultColWidth="9.140625" defaultRowHeight="15.75"/>
  <cols>
    <col min="1" max="1" width="4.5703125" style="1" customWidth="1"/>
    <col min="2" max="2" width="27.140625" style="1" customWidth="1"/>
    <col min="3" max="3" width="32" style="1" customWidth="1"/>
    <col min="4" max="4" width="7.85546875" style="1" customWidth="1"/>
    <col min="5" max="5" width="4.140625" style="1" customWidth="1"/>
    <col min="6" max="6" width="18.140625" style="1" hidden="1" customWidth="1"/>
    <col min="7" max="7" width="18" style="1" hidden="1" customWidth="1"/>
    <col min="8" max="8" width="3.42578125" style="2" hidden="1" customWidth="1"/>
    <col min="9" max="9" width="20.42578125" style="1" customWidth="1"/>
    <col min="10" max="11" width="21.140625" style="1" customWidth="1"/>
    <col min="12" max="12" width="9.140625" style="1"/>
    <col min="13" max="13" width="15.42578125" style="1" customWidth="1"/>
    <col min="14" max="14" width="11.85546875" style="1" bestFit="1" customWidth="1"/>
    <col min="15" max="15" width="10.5703125" style="1" customWidth="1"/>
    <col min="16" max="16" width="11.42578125" style="1" customWidth="1"/>
    <col min="17" max="16384" width="9.140625" style="1"/>
  </cols>
  <sheetData>
    <row r="2" spans="1:11">
      <c r="A2" s="117" t="s">
        <v>19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</row>
    <row r="3" spans="1:11">
      <c r="A3" s="118" t="s">
        <v>20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</row>
    <row r="4" spans="1:11">
      <c r="A4" s="118" t="s">
        <v>21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</row>
    <row r="6" spans="1:11" ht="18" customHeight="1">
      <c r="F6" s="117" t="s">
        <v>22</v>
      </c>
      <c r="G6" s="117"/>
      <c r="H6" s="8"/>
      <c r="I6" s="117" t="s">
        <v>23</v>
      </c>
      <c r="J6" s="117"/>
    </row>
    <row r="7" spans="1:11" ht="18" customHeight="1">
      <c r="A7" s="1" t="s">
        <v>24</v>
      </c>
      <c r="F7" s="2" t="s">
        <v>25</v>
      </c>
      <c r="G7" s="2" t="s">
        <v>25</v>
      </c>
      <c r="I7" s="2" t="s">
        <v>25</v>
      </c>
      <c r="J7" s="2" t="s">
        <v>25</v>
      </c>
      <c r="K7" s="2" t="s">
        <v>25</v>
      </c>
    </row>
    <row r="8" spans="1:11" ht="18" customHeight="1">
      <c r="A8" s="1" t="s">
        <v>26</v>
      </c>
      <c r="F8" s="2">
        <v>313</v>
      </c>
      <c r="G8" s="2">
        <v>313</v>
      </c>
      <c r="I8" s="2">
        <v>313</v>
      </c>
      <c r="J8" s="2">
        <v>313</v>
      </c>
      <c r="K8" s="2">
        <v>313</v>
      </c>
    </row>
    <row r="9" spans="1:11" ht="18" customHeight="1">
      <c r="F9" s="2" t="s">
        <v>27</v>
      </c>
      <c r="G9" s="2" t="s">
        <v>27</v>
      </c>
      <c r="I9" s="2" t="s">
        <v>28</v>
      </c>
      <c r="J9" s="2" t="s">
        <v>28</v>
      </c>
      <c r="K9" s="2" t="s">
        <v>28</v>
      </c>
    </row>
    <row r="10" spans="1:11" ht="18" customHeight="1">
      <c r="F10" s="2" t="s">
        <v>29</v>
      </c>
      <c r="G10" s="2" t="s">
        <v>30</v>
      </c>
      <c r="I10" s="2" t="s">
        <v>29</v>
      </c>
      <c r="J10" s="2" t="s">
        <v>30</v>
      </c>
      <c r="K10" s="2" t="s">
        <v>31</v>
      </c>
    </row>
    <row r="11" spans="1:11" ht="18" customHeight="1"/>
    <row r="12" spans="1:11" ht="18" customHeight="1">
      <c r="A12" s="11" t="s">
        <v>32</v>
      </c>
    </row>
    <row r="13" spans="1:11" ht="18" customHeight="1">
      <c r="A13" s="1" t="s">
        <v>33</v>
      </c>
      <c r="E13" s="2" t="s">
        <v>34</v>
      </c>
      <c r="F13" s="58">
        <v>610</v>
      </c>
      <c r="G13" s="58">
        <v>610</v>
      </c>
      <c r="H13" s="2" t="s">
        <v>34</v>
      </c>
      <c r="I13" s="58">
        <v>610</v>
      </c>
      <c r="J13" s="58">
        <v>610</v>
      </c>
      <c r="K13" s="58">
        <v>610</v>
      </c>
    </row>
    <row r="14" spans="1:11" ht="18" customHeight="1"/>
    <row r="15" spans="1:11">
      <c r="A15" s="1" t="s">
        <v>35</v>
      </c>
      <c r="F15" s="58">
        <f>ROUND((F13*F8/12),2)</f>
        <v>15910.83</v>
      </c>
      <c r="G15" s="58">
        <f>ROUND((G13*G8/12),2)</f>
        <v>15910.83</v>
      </c>
      <c r="H15" s="59"/>
      <c r="I15" s="58">
        <f>ROUND((I13*I8/12),2)</f>
        <v>15910.83</v>
      </c>
      <c r="J15" s="58">
        <f>ROUND((J13*J8/12),2)</f>
        <v>15910.83</v>
      </c>
      <c r="K15" s="58">
        <f>ROUND((K13*K8/12),2)</f>
        <v>15910.83</v>
      </c>
    </row>
    <row r="16" spans="1:11" ht="19.5" customHeight="1">
      <c r="A16" s="1" t="s">
        <v>36</v>
      </c>
      <c r="F16" s="58">
        <v>0</v>
      </c>
      <c r="G16" s="58">
        <f>G15*10%*1/3</f>
        <v>530.36099999999999</v>
      </c>
      <c r="H16" s="59"/>
      <c r="I16" s="58">
        <v>0</v>
      </c>
      <c r="J16" s="58">
        <f>ROUND(+J15*10%*1/2,2)</f>
        <v>795.54</v>
      </c>
      <c r="K16" s="58">
        <f>ROUND(+K15*10%*1/2,2)</f>
        <v>795.54</v>
      </c>
    </row>
    <row r="17" spans="1:17" ht="18" customHeight="1">
      <c r="A17" s="1" t="s">
        <v>37</v>
      </c>
      <c r="F17" s="58">
        <f>ROUND((F13*365/12/12),2)</f>
        <v>1546.18</v>
      </c>
      <c r="G17" s="58">
        <f>ROUND((G13*365/12/12),2)</f>
        <v>1546.18</v>
      </c>
      <c r="H17" s="59"/>
      <c r="I17" s="58">
        <f>ROUND((I13*365/12/12),2)</f>
        <v>1546.18</v>
      </c>
      <c r="J17" s="58">
        <f>ROUND((J13*365/12/12),2)</f>
        <v>1546.18</v>
      </c>
      <c r="K17" s="58">
        <f>ROUND((K13*365/12/12),2)</f>
        <v>1546.18</v>
      </c>
    </row>
    <row r="18" spans="1:17" ht="18" customHeight="1">
      <c r="A18" s="1" t="s">
        <v>38</v>
      </c>
      <c r="F18" s="58">
        <f>+F13*(5/12)</f>
        <v>254.16666666666669</v>
      </c>
      <c r="G18" s="58">
        <f>+G13*(5/12)</f>
        <v>254.16666666666669</v>
      </c>
      <c r="H18" s="59"/>
      <c r="I18" s="14">
        <f>ROUND(I13*(5/12),2)</f>
        <v>254.17</v>
      </c>
      <c r="J18" s="14">
        <f>ROUND(J13*(5/12),2)</f>
        <v>254.17</v>
      </c>
      <c r="K18" s="14">
        <f>ROUND(K13*(5/12),2)</f>
        <v>254.17</v>
      </c>
    </row>
    <row r="19" spans="1:17" ht="18" customHeight="1">
      <c r="A19" s="1" t="s">
        <v>39</v>
      </c>
      <c r="F19" s="58">
        <v>100</v>
      </c>
      <c r="G19" s="58">
        <v>100</v>
      </c>
      <c r="H19" s="59"/>
      <c r="I19" s="15">
        <v>100</v>
      </c>
      <c r="J19" s="58">
        <v>100</v>
      </c>
      <c r="K19" s="58">
        <v>100</v>
      </c>
    </row>
    <row r="20" spans="1:17" ht="21" customHeight="1">
      <c r="A20" s="1" t="s">
        <v>40</v>
      </c>
      <c r="F20" s="60">
        <v>0</v>
      </c>
      <c r="G20" s="60">
        <f>0*377/12</f>
        <v>0</v>
      </c>
      <c r="H20" s="61"/>
      <c r="I20" s="62">
        <f>+F52</f>
        <v>10423.120833333332</v>
      </c>
      <c r="J20" s="62">
        <f>+J52</f>
        <v>11465.433333333334</v>
      </c>
      <c r="K20" s="62">
        <f>+K52</f>
        <v>11465.433333333334</v>
      </c>
    </row>
    <row r="21" spans="1:17" ht="18" customHeight="1">
      <c r="F21" s="14">
        <f>SUM(F15:F20)</f>
        <v>17811.176666666666</v>
      </c>
      <c r="G21" s="14">
        <f>SUM(G15:G20)</f>
        <v>18341.537666666667</v>
      </c>
      <c r="H21" s="19"/>
      <c r="I21" s="14">
        <f>ROUND(SUM(I15:I20),2)</f>
        <v>28234.3</v>
      </c>
      <c r="J21" s="14">
        <f>ROUND(SUM(J15:J20),2)</f>
        <v>30072.15</v>
      </c>
      <c r="K21" s="14">
        <f>ROUND(SUM(K15:K20),2)</f>
        <v>30072.15</v>
      </c>
      <c r="N21" s="7"/>
      <c r="O21" s="7"/>
      <c r="P21" s="7"/>
    </row>
    <row r="22" spans="1:17" ht="18" customHeight="1">
      <c r="F22" s="14"/>
    </row>
    <row r="23" spans="1:17" ht="18" customHeight="1">
      <c r="A23" s="11" t="s">
        <v>41</v>
      </c>
    </row>
    <row r="24" spans="1:17" ht="18" customHeight="1">
      <c r="A24" s="1" t="s">
        <v>42</v>
      </c>
      <c r="F24" s="63">
        <f>+F13*22.5/12</f>
        <v>1143.75</v>
      </c>
      <c r="G24" s="63">
        <f>+G13*22.5/12</f>
        <v>1143.75</v>
      </c>
      <c r="H24" s="59"/>
      <c r="I24" s="58">
        <f>ROUND(+I13*22.5/12,2)</f>
        <v>1143.75</v>
      </c>
      <c r="J24" s="58">
        <f>ROUND(+J13*22.5/12,2)</f>
        <v>1143.75</v>
      </c>
      <c r="K24" s="58">
        <f>ROUND(+K13*22.5/12,2)</f>
        <v>1143.75</v>
      </c>
    </row>
    <row r="25" spans="1:17" ht="18" customHeight="1">
      <c r="A25" s="1" t="s">
        <v>43</v>
      </c>
      <c r="F25" s="63">
        <v>1567.5</v>
      </c>
      <c r="G25" s="63">
        <v>1615</v>
      </c>
      <c r="H25" s="59"/>
      <c r="I25" s="63">
        <v>1900</v>
      </c>
      <c r="J25" s="63">
        <v>1900</v>
      </c>
      <c r="K25" s="63">
        <v>1900</v>
      </c>
      <c r="O25" s="7"/>
      <c r="P25" s="7"/>
      <c r="Q25" s="7"/>
    </row>
    <row r="26" spans="1:17" ht="18" customHeight="1">
      <c r="A26" s="1" t="s">
        <v>44</v>
      </c>
      <c r="F26" s="63">
        <v>0</v>
      </c>
      <c r="G26" s="63">
        <v>0</v>
      </c>
      <c r="H26" s="59"/>
      <c r="I26" s="63">
        <v>617.5</v>
      </c>
      <c r="J26" s="63">
        <v>807.5</v>
      </c>
      <c r="K26" s="63">
        <v>807.5</v>
      </c>
    </row>
    <row r="27" spans="1:17" ht="18" customHeight="1">
      <c r="A27" s="1" t="s">
        <v>45</v>
      </c>
      <c r="F27" s="63">
        <f>(F15*0.05)/2</f>
        <v>397.77075000000002</v>
      </c>
      <c r="G27" s="63">
        <f>(G15*0.05)/2</f>
        <v>397.77075000000002</v>
      </c>
      <c r="H27" s="59"/>
      <c r="I27" s="58">
        <f>ROUND((I15*0.05/2),2)</f>
        <v>397.77</v>
      </c>
      <c r="J27" s="58">
        <f t="shared" ref="J27:K27" si="0">ROUND((J15*0.05/2),2)</f>
        <v>397.77</v>
      </c>
      <c r="K27" s="58">
        <f t="shared" si="0"/>
        <v>397.77</v>
      </c>
    </row>
    <row r="28" spans="1:17" ht="18" customHeight="1">
      <c r="A28" s="1" t="s">
        <v>46</v>
      </c>
      <c r="F28" s="63">
        <v>30</v>
      </c>
      <c r="G28" s="63">
        <v>30</v>
      </c>
      <c r="H28" s="59"/>
      <c r="I28" s="58">
        <v>30</v>
      </c>
      <c r="J28" s="58">
        <v>30</v>
      </c>
      <c r="K28" s="58">
        <v>30</v>
      </c>
    </row>
    <row r="29" spans="1:17" ht="18" customHeight="1">
      <c r="A29" s="1" t="s">
        <v>47</v>
      </c>
      <c r="F29" s="64">
        <v>100</v>
      </c>
      <c r="G29" s="64">
        <v>100</v>
      </c>
      <c r="H29" s="61"/>
      <c r="I29" s="60">
        <v>100</v>
      </c>
      <c r="J29" s="60">
        <v>100</v>
      </c>
      <c r="K29" s="60">
        <v>100</v>
      </c>
    </row>
    <row r="30" spans="1:17" ht="18" customHeight="1">
      <c r="F30" s="22">
        <f>SUM(F24:F29)</f>
        <v>3239.0207500000001</v>
      </c>
      <c r="G30" s="22">
        <f>SUM(G24:G29)</f>
        <v>3286.5207500000001</v>
      </c>
      <c r="H30" s="19"/>
      <c r="I30" s="14">
        <f>ROUND(SUM(I24:I29),2)</f>
        <v>4189.0200000000004</v>
      </c>
      <c r="J30" s="14">
        <f>ROUND(SUM(J24:J29),2)</f>
        <v>4379.0200000000004</v>
      </c>
      <c r="K30" s="14">
        <f>ROUND(SUM(K24:K29),2)</f>
        <v>4379.0200000000004</v>
      </c>
    </row>
    <row r="31" spans="1:17" ht="18" customHeight="1"/>
    <row r="32" spans="1:17" ht="18" customHeight="1">
      <c r="F32" s="11"/>
      <c r="G32" s="11"/>
      <c r="H32" s="8"/>
    </row>
    <row r="33" spans="1:11" ht="18" customHeight="1">
      <c r="A33" s="11" t="s">
        <v>48</v>
      </c>
      <c r="E33" s="2" t="s">
        <v>34</v>
      </c>
      <c r="F33" s="23">
        <f>+F21+F30</f>
        <v>21050.197416666666</v>
      </c>
      <c r="G33" s="23">
        <f>+G21+G30</f>
        <v>21628.058416666667</v>
      </c>
      <c r="H33" s="2" t="s">
        <v>34</v>
      </c>
      <c r="I33" s="23">
        <f>ROUND(+I30+I21,2)</f>
        <v>32423.32</v>
      </c>
      <c r="J33" s="23">
        <f>ROUND(+J30+J21,2)</f>
        <v>34451.17</v>
      </c>
      <c r="K33" s="23">
        <f>ROUND(+K30+K21,2)</f>
        <v>34451.17</v>
      </c>
    </row>
    <row r="34" spans="1:11" ht="18" customHeight="1"/>
    <row r="35" spans="1:11" ht="18" customHeight="1" thickBot="1">
      <c r="A35" s="11" t="s">
        <v>49</v>
      </c>
    </row>
    <row r="36" spans="1:11">
      <c r="A36" s="116" t="s">
        <v>50</v>
      </c>
      <c r="B36" s="116"/>
      <c r="C36" s="116"/>
      <c r="D36" s="78"/>
      <c r="F36" s="65">
        <f>+F33*24%</f>
        <v>5052.04738</v>
      </c>
      <c r="G36" s="65">
        <f>+G33*24%</f>
        <v>5190.7340199999999</v>
      </c>
      <c r="H36" s="66"/>
      <c r="I36" s="106" t="str">
        <f>IF(D36="","-",IF(D36&lt;20%,"ERROR",IF(D36&gt;24%,"ERROR",ROUND(I33*D36,2))))</f>
        <v>-</v>
      </c>
      <c r="J36" s="106" t="str">
        <f>IF(D36="","-",IF(D36&lt;20%,"ERROR",IF(D36&gt;24%,"ERROR",ROUND(J33*D36,2))))</f>
        <v>-</v>
      </c>
      <c r="K36" s="106" t="str">
        <f>IF(D36="","-",IF(D36&lt;20%,"ERROR",IF(D36&gt;24%,"ERROR",ROUND(K33*D36,2))))</f>
        <v>-</v>
      </c>
    </row>
    <row r="37" spans="1:11" ht="18" customHeight="1">
      <c r="F37" s="11"/>
      <c r="G37" s="11"/>
      <c r="H37" s="8"/>
      <c r="I37" s="11"/>
      <c r="J37" s="11"/>
      <c r="K37" s="11"/>
    </row>
    <row r="38" spans="1:11" ht="18" customHeight="1">
      <c r="A38" s="11" t="s">
        <v>51</v>
      </c>
      <c r="F38" s="65">
        <f>+F36*0.12</f>
        <v>606.2456856</v>
      </c>
      <c r="G38" s="65">
        <f>+G36*0.12</f>
        <v>622.88808239999992</v>
      </c>
      <c r="H38" s="66"/>
      <c r="I38" s="65" t="e">
        <f>ROUND(+I36*0.12,2)</f>
        <v>#VALUE!</v>
      </c>
      <c r="J38" s="65" t="e">
        <f>ROUND(+J36*0.12,2)</f>
        <v>#VALUE!</v>
      </c>
      <c r="K38" s="65" t="e">
        <f>ROUND(+K36*0.12,2)</f>
        <v>#VALUE!</v>
      </c>
    </row>
    <row r="39" spans="1:11" ht="18" customHeight="1"/>
    <row r="40" spans="1:11" ht="18" customHeight="1" thickBot="1">
      <c r="A40" s="11" t="s">
        <v>52</v>
      </c>
      <c r="E40" s="2" t="s">
        <v>34</v>
      </c>
      <c r="F40" s="67">
        <f>+F33+F36+F38</f>
        <v>26708.490482266665</v>
      </c>
      <c r="G40" s="67">
        <f>+G33+G36+G38</f>
        <v>27441.680519066667</v>
      </c>
      <c r="H40" s="2" t="s">
        <v>34</v>
      </c>
      <c r="I40" s="27" t="e">
        <f>ROUND(I33+I36+I38,2)</f>
        <v>#VALUE!</v>
      </c>
      <c r="J40" s="27" t="e">
        <f>ROUND(J33+J36+J38,2)</f>
        <v>#VALUE!</v>
      </c>
      <c r="K40" s="27" t="e">
        <f>ROUND(K33+K36+K38,2)</f>
        <v>#VALUE!</v>
      </c>
    </row>
    <row r="41" spans="1:11" ht="18" customHeight="1" thickTop="1"/>
    <row r="42" spans="1:11">
      <c r="A42" s="11" t="s">
        <v>53</v>
      </c>
    </row>
    <row r="43" spans="1:11" hidden="1">
      <c r="F43" s="58"/>
      <c r="G43" s="58"/>
      <c r="H43" s="59"/>
    </row>
    <row r="44" spans="1:11" hidden="1">
      <c r="B44" s="1" t="s">
        <v>54</v>
      </c>
      <c r="F44" s="14"/>
      <c r="G44" s="14"/>
      <c r="H44" s="19"/>
      <c r="I44" s="1" t="s">
        <v>55</v>
      </c>
    </row>
    <row r="45" spans="1:11" hidden="1"/>
    <row r="46" spans="1:11" hidden="1">
      <c r="B46" s="1" t="s">
        <v>56</v>
      </c>
      <c r="C46" s="19">
        <f>F13/8</f>
        <v>76.25</v>
      </c>
      <c r="D46" s="19"/>
      <c r="I46" s="1" t="s">
        <v>56</v>
      </c>
      <c r="J46" s="19">
        <f>J13/8</f>
        <v>76.25</v>
      </c>
      <c r="K46" s="19">
        <f>K13/8</f>
        <v>76.25</v>
      </c>
    </row>
    <row r="47" spans="1:11" hidden="1">
      <c r="A47" s="2">
        <v>295</v>
      </c>
      <c r="B47" s="1" t="s">
        <v>57</v>
      </c>
      <c r="F47" s="58">
        <f>ROUND((C46*1.25*A47*4),2)</f>
        <v>112468.75</v>
      </c>
      <c r="I47" s="1" t="s">
        <v>58</v>
      </c>
      <c r="J47" s="68">
        <f>ROUND((J46*1.375*A47*4),2)</f>
        <v>123715.63</v>
      </c>
      <c r="K47" s="68">
        <f>ROUND((K46*1.375*A47*4),2)</f>
        <v>123715.63</v>
      </c>
    </row>
    <row r="48" spans="1:11" hidden="1">
      <c r="A48" s="2">
        <v>12</v>
      </c>
      <c r="B48" s="1" t="s">
        <v>59</v>
      </c>
      <c r="F48" s="58">
        <f>ROUND((C46*2.6*A48*4),2)</f>
        <v>9516</v>
      </c>
      <c r="I48" s="1" t="s">
        <v>60</v>
      </c>
      <c r="J48" s="68">
        <f>ROUND((J46*2.86*A48*4),2)</f>
        <v>10467.6</v>
      </c>
      <c r="K48" s="68">
        <f>ROUND((K46*2.86*A48*4),2)</f>
        <v>10467.6</v>
      </c>
    </row>
    <row r="49" spans="1:11" hidden="1">
      <c r="A49" s="2">
        <v>6</v>
      </c>
      <c r="B49" s="1" t="s">
        <v>61</v>
      </c>
      <c r="F49" s="58">
        <f>ROUND((C46*1.69*A49*4),2)</f>
        <v>3092.7</v>
      </c>
      <c r="I49" s="1" t="s">
        <v>62</v>
      </c>
      <c r="J49" s="62">
        <f>ROUND((J46*1.859*A49*4),2)</f>
        <v>3401.97</v>
      </c>
      <c r="K49" s="62">
        <f>ROUND((K46*1.859*A49*4),2)</f>
        <v>3401.97</v>
      </c>
    </row>
    <row r="50" spans="1:11" hidden="1">
      <c r="F50" s="29">
        <f>SUM(F47:F49)</f>
        <v>125077.45</v>
      </c>
      <c r="J50" s="68">
        <f>SUM(J47:J49)</f>
        <v>137585.20000000001</v>
      </c>
      <c r="K50" s="68">
        <f>SUM(K47:K49)</f>
        <v>137585.20000000001</v>
      </c>
    </row>
    <row r="51" spans="1:11" hidden="1">
      <c r="B51" s="1" t="s">
        <v>63</v>
      </c>
      <c r="F51" s="30">
        <v>12</v>
      </c>
      <c r="I51" s="1" t="s">
        <v>64</v>
      </c>
      <c r="J51" s="30">
        <v>12</v>
      </c>
      <c r="K51" s="30">
        <v>12</v>
      </c>
    </row>
    <row r="52" spans="1:11" ht="16.5" hidden="1" thickBot="1">
      <c r="B52" s="1" t="s">
        <v>65</v>
      </c>
      <c r="F52" s="67">
        <f>F50/F51</f>
        <v>10423.120833333332</v>
      </c>
      <c r="I52" s="1" t="s">
        <v>66</v>
      </c>
      <c r="J52" s="31">
        <f>J50/J51</f>
        <v>11465.433333333334</v>
      </c>
      <c r="K52" s="31">
        <f>K50/K51</f>
        <v>11465.433333333334</v>
      </c>
    </row>
    <row r="53" spans="1:11" ht="16.5" hidden="1" thickTop="1"/>
    <row r="54" spans="1:11" hidden="1">
      <c r="B54" s="11" t="s">
        <v>67</v>
      </c>
      <c r="F54" s="14"/>
      <c r="I54" s="11"/>
    </row>
    <row r="55" spans="1:11" ht="15" hidden="1" customHeight="1">
      <c r="B55" s="1" t="s">
        <v>68</v>
      </c>
    </row>
    <row r="56" spans="1:11" hidden="1">
      <c r="B56" s="1" t="s">
        <v>69</v>
      </c>
    </row>
    <row r="57" spans="1:11" hidden="1"/>
    <row r="58" spans="1:11" hidden="1"/>
    <row r="59" spans="1:11" ht="18" hidden="1" customHeight="1" thickBot="1">
      <c r="B59" s="1" t="s">
        <v>70</v>
      </c>
      <c r="F59" s="69">
        <f>F21-F17</f>
        <v>16264.996666666666</v>
      </c>
      <c r="G59" s="69">
        <f>G21-G17</f>
        <v>16795.357666666667</v>
      </c>
      <c r="H59" s="70"/>
      <c r="I59" s="34">
        <f>I21-I17</f>
        <v>26688.12</v>
      </c>
      <c r="J59" s="34">
        <f>J21-J17</f>
        <v>28525.97</v>
      </c>
      <c r="K59" s="34">
        <f>K21-K17</f>
        <v>28525.97</v>
      </c>
    </row>
    <row r="60" spans="1:11" ht="16.5" hidden="1" thickTop="1"/>
    <row r="61" spans="1:11" hidden="1"/>
    <row r="63" spans="1:11">
      <c r="A63" s="1" t="s">
        <v>71</v>
      </c>
      <c r="I63" s="71">
        <v>1</v>
      </c>
      <c r="J63" s="71">
        <v>1</v>
      </c>
      <c r="K63" s="71">
        <v>0</v>
      </c>
    </row>
    <row r="64" spans="1:11">
      <c r="I64" s="72"/>
      <c r="J64" s="72"/>
      <c r="K64" s="72"/>
    </row>
    <row r="65" spans="1:13">
      <c r="A65" s="1" t="s">
        <v>72</v>
      </c>
      <c r="I65" s="72" t="e">
        <f>ROUND(I63*I40,2)</f>
        <v>#VALUE!</v>
      </c>
      <c r="J65" s="72" t="e">
        <f>ROUND(J63*J40,2)</f>
        <v>#VALUE!</v>
      </c>
      <c r="K65" s="72" t="e">
        <f>K63*K40</f>
        <v>#VALUE!</v>
      </c>
    </row>
    <row r="67" spans="1:13" ht="16.5" thickBot="1">
      <c r="A67" s="1" t="s">
        <v>74</v>
      </c>
      <c r="F67" s="73"/>
      <c r="G67" s="73"/>
      <c r="H67" s="74"/>
      <c r="I67" s="75" t="e">
        <f>ROUND(I65*12,2)</f>
        <v>#VALUE!</v>
      </c>
      <c r="J67" s="75" t="e">
        <f>ROUND(J65*12,2)</f>
        <v>#VALUE!</v>
      </c>
      <c r="K67" s="75" t="e">
        <f>K65*12</f>
        <v>#VALUE!</v>
      </c>
      <c r="M67" s="14"/>
    </row>
    <row r="68" spans="1:13" ht="16.5" thickTop="1"/>
    <row r="69" spans="1:13" ht="19.5" thickBot="1">
      <c r="J69" s="76"/>
      <c r="K69" s="77" t="e">
        <f>SUM(I67:K67)</f>
        <v>#VALUE!</v>
      </c>
    </row>
    <row r="70" spans="1:13" ht="16.5" thickTop="1"/>
  </sheetData>
  <sheetProtection algorithmName="SHA-512" hashValue="OLJlZ6U8+X7fh7/dDAJtNyas75xCWhSJrRuVOG3LLcjFD9K+D1+EkA54AGmorAo3WjN0+5pqVwCZeVViRLg9EA==" saltValue="gwTvtW5xNLARlOIwWDmmHw==" spinCount="100000" sheet="1" objects="1" scenarios="1"/>
  <mergeCells count="6">
    <mergeCell ref="A36:C36"/>
    <mergeCell ref="F6:G6"/>
    <mergeCell ref="I6:J6"/>
    <mergeCell ref="A2:K2"/>
    <mergeCell ref="A3:K3"/>
    <mergeCell ref="A4:K4"/>
  </mergeCells>
  <conditionalFormatting sqref="D36">
    <cfRule type="containsBlanks" dxfId="6" priority="1">
      <formula>LEN(TRIM(D36))=0</formula>
    </cfRule>
  </conditionalFormatting>
  <pageMargins left="0.51181102362204722" right="0.51181102362204722" top="0.55118110236220474" bottom="0.55118110236220474" header="0.31496062992125984" footer="0.31496062992125984"/>
  <pageSetup paperSize="9" scale="67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A65CB-5799-4F46-83B7-AC9D96292142}">
  <sheetPr>
    <pageSetUpPr fitToPage="1"/>
  </sheetPr>
  <dimension ref="A2:P70"/>
  <sheetViews>
    <sheetView topLeftCell="A18" zoomScale="106" zoomScaleNormal="106" workbookViewId="0">
      <selection activeCell="D38" sqref="D38"/>
    </sheetView>
  </sheetViews>
  <sheetFormatPr defaultColWidth="9.140625" defaultRowHeight="15.75"/>
  <cols>
    <col min="1" max="1" width="4.5703125" style="1" customWidth="1"/>
    <col min="2" max="2" width="27.140625" style="1" customWidth="1"/>
    <col min="3" max="3" width="32.7109375" style="1" customWidth="1"/>
    <col min="4" max="4" width="7.28515625" style="1" customWidth="1"/>
    <col min="5" max="5" width="2.42578125" style="2" bestFit="1" customWidth="1"/>
    <col min="6" max="6" width="18.140625" style="1" customWidth="1"/>
    <col min="7" max="7" width="18" style="1" customWidth="1"/>
    <col min="8" max="8" width="2.42578125" style="2" hidden="1" customWidth="1"/>
    <col min="9" max="9" width="23.85546875" style="1" hidden="1" customWidth="1"/>
    <col min="10" max="10" width="21.5703125" style="1" hidden="1" customWidth="1"/>
    <col min="11" max="11" width="18" style="1" customWidth="1"/>
    <col min="12" max="12" width="9.140625" style="1"/>
    <col min="13" max="13" width="13.140625" style="1" bestFit="1" customWidth="1"/>
    <col min="14" max="14" width="11.85546875" style="1" bestFit="1" customWidth="1"/>
    <col min="15" max="15" width="11.5703125" style="1" customWidth="1"/>
    <col min="16" max="16" width="14.5703125" style="1" customWidth="1"/>
    <col min="17" max="16384" width="9.140625" style="1"/>
  </cols>
  <sheetData>
    <row r="2" spans="1:11">
      <c r="A2" s="117" t="s">
        <v>75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</row>
    <row r="3" spans="1:11">
      <c r="A3" s="118" t="s">
        <v>76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</row>
    <row r="4" spans="1:11">
      <c r="A4" s="118" t="s">
        <v>77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</row>
    <row r="5" spans="1:11">
      <c r="I5" s="1" t="s">
        <v>78</v>
      </c>
    </row>
    <row r="7" spans="1:11">
      <c r="I7" s="1" t="s">
        <v>78</v>
      </c>
    </row>
    <row r="8" spans="1:11" ht="18" customHeight="1">
      <c r="F8" s="117" t="s">
        <v>79</v>
      </c>
      <c r="G8" s="117"/>
      <c r="H8" s="117"/>
      <c r="I8" s="117"/>
      <c r="J8" s="117"/>
      <c r="K8" s="117"/>
    </row>
    <row r="9" spans="1:11" ht="18" customHeight="1">
      <c r="A9" s="1" t="s">
        <v>24</v>
      </c>
      <c r="F9" s="2" t="s">
        <v>25</v>
      </c>
      <c r="G9" s="2" t="s">
        <v>25</v>
      </c>
      <c r="I9" s="2" t="s">
        <v>25</v>
      </c>
      <c r="J9" s="2" t="s">
        <v>25</v>
      </c>
      <c r="K9" s="2" t="s">
        <v>25</v>
      </c>
    </row>
    <row r="10" spans="1:11" ht="18" customHeight="1">
      <c r="A10" s="1" t="s">
        <v>26</v>
      </c>
      <c r="F10" s="2">
        <v>313</v>
      </c>
      <c r="G10" s="2">
        <v>313</v>
      </c>
      <c r="I10" s="2">
        <v>313</v>
      </c>
      <c r="J10" s="2">
        <v>313</v>
      </c>
      <c r="K10" s="2">
        <v>313</v>
      </c>
    </row>
    <row r="11" spans="1:11" ht="18" customHeight="1">
      <c r="F11" s="2" t="s">
        <v>27</v>
      </c>
      <c r="G11" s="2" t="s">
        <v>27</v>
      </c>
      <c r="I11" s="2" t="s">
        <v>28</v>
      </c>
      <c r="J11" s="2" t="s">
        <v>28</v>
      </c>
      <c r="K11" s="2" t="s">
        <v>27</v>
      </c>
    </row>
    <row r="12" spans="1:11" ht="18" customHeight="1">
      <c r="F12" s="2" t="s">
        <v>29</v>
      </c>
      <c r="G12" s="2" t="s">
        <v>30</v>
      </c>
      <c r="I12" s="2" t="s">
        <v>29</v>
      </c>
      <c r="J12" s="2" t="s">
        <v>30</v>
      </c>
      <c r="K12" s="2" t="s">
        <v>31</v>
      </c>
    </row>
    <row r="13" spans="1:11" ht="18" customHeight="1"/>
    <row r="14" spans="1:11" ht="18" customHeight="1">
      <c r="A14" s="11" t="s">
        <v>32</v>
      </c>
    </row>
    <row r="15" spans="1:11" ht="18" customHeight="1">
      <c r="A15" s="1" t="s">
        <v>33</v>
      </c>
      <c r="E15" s="2" t="s">
        <v>34</v>
      </c>
      <c r="F15" s="58">
        <v>500</v>
      </c>
      <c r="G15" s="58">
        <v>500</v>
      </c>
      <c r="H15" s="2" t="s">
        <v>34</v>
      </c>
      <c r="I15" s="58">
        <v>460</v>
      </c>
      <c r="J15" s="58">
        <v>460</v>
      </c>
      <c r="K15" s="58">
        <v>500</v>
      </c>
    </row>
    <row r="16" spans="1:11" ht="18" customHeight="1"/>
    <row r="17" spans="1:16">
      <c r="A17" s="1" t="s">
        <v>35</v>
      </c>
      <c r="F17" s="58">
        <f>ROUND((F15*F10/12),2)</f>
        <v>13041.67</v>
      </c>
      <c r="G17" s="58">
        <f>ROUND((G15*G10/12),2)</f>
        <v>13041.67</v>
      </c>
      <c r="H17" s="59"/>
      <c r="I17" s="58">
        <f>ROUND((I15*I10/12),2)</f>
        <v>11998.33</v>
      </c>
      <c r="J17" s="58">
        <f>ROUND((J15*J10/12),2)</f>
        <v>11998.33</v>
      </c>
      <c r="K17" s="58">
        <f>ROUND((K15*K10/12),2)</f>
        <v>13041.67</v>
      </c>
    </row>
    <row r="18" spans="1:16" ht="19.5" customHeight="1">
      <c r="A18" s="1" t="s">
        <v>36</v>
      </c>
      <c r="F18" s="58">
        <v>0</v>
      </c>
      <c r="G18" s="58">
        <f>ROUND(G17*10%*1/3,2)</f>
        <v>434.72</v>
      </c>
      <c r="H18" s="59"/>
      <c r="I18" s="58">
        <v>0</v>
      </c>
      <c r="J18" s="58">
        <f>+J17*10%*1/2</f>
        <v>599.91650000000004</v>
      </c>
      <c r="K18" s="58">
        <f>ROUND(K17*10%*1/3,2)</f>
        <v>434.72</v>
      </c>
    </row>
    <row r="19" spans="1:16" ht="18" customHeight="1">
      <c r="A19" s="1" t="s">
        <v>37</v>
      </c>
      <c r="F19" s="58">
        <f>ROUND((F15*365/12/12),2)</f>
        <v>1267.3599999999999</v>
      </c>
      <c r="G19" s="58">
        <f>ROUND((G15*365/12/12),2)</f>
        <v>1267.3599999999999</v>
      </c>
      <c r="H19" s="59"/>
      <c r="I19" s="58">
        <f>ROUND((I15*365/12/12),2)</f>
        <v>1165.97</v>
      </c>
      <c r="J19" s="58">
        <f>ROUND((J15*365/12/12),2)</f>
        <v>1165.97</v>
      </c>
      <c r="K19" s="58">
        <f>ROUND((K15*365/12/12),2)</f>
        <v>1267.3599999999999</v>
      </c>
    </row>
    <row r="20" spans="1:16" ht="18" customHeight="1">
      <c r="A20" s="1" t="s">
        <v>38</v>
      </c>
      <c r="F20" s="58">
        <f>ROUND(+F15*(5/12),2)</f>
        <v>208.33</v>
      </c>
      <c r="G20" s="58">
        <f>ROUND(+G15*(5/12),2)</f>
        <v>208.33</v>
      </c>
      <c r="H20" s="59"/>
      <c r="I20" s="14">
        <f>I15*(5/12)</f>
        <v>191.66666666666669</v>
      </c>
      <c r="J20" s="14">
        <f>J15*(5/12)</f>
        <v>191.66666666666669</v>
      </c>
      <c r="K20" s="58">
        <f>ROUND(+K15*(5/12),2)</f>
        <v>208.33</v>
      </c>
    </row>
    <row r="21" spans="1:16" ht="18" customHeight="1">
      <c r="A21" s="1" t="s">
        <v>39</v>
      </c>
      <c r="F21" s="58">
        <v>100</v>
      </c>
      <c r="G21" s="58">
        <v>100</v>
      </c>
      <c r="H21" s="59"/>
      <c r="I21" s="15">
        <v>100</v>
      </c>
      <c r="J21" s="58">
        <v>100</v>
      </c>
      <c r="K21" s="58">
        <v>100</v>
      </c>
    </row>
    <row r="22" spans="1:16" ht="21" customHeight="1">
      <c r="A22" s="1" t="s">
        <v>40</v>
      </c>
      <c r="F22" s="60">
        <v>0</v>
      </c>
      <c r="G22" s="60">
        <f>0*377/12</f>
        <v>0</v>
      </c>
      <c r="H22" s="61"/>
      <c r="I22" s="62">
        <f>+F54</f>
        <v>8543.5416666666661</v>
      </c>
      <c r="J22" s="62">
        <f>+J54</f>
        <v>8646.064166666667</v>
      </c>
      <c r="K22" s="60">
        <f>0*377/12</f>
        <v>0</v>
      </c>
    </row>
    <row r="23" spans="1:16" ht="18" customHeight="1">
      <c r="F23" s="14">
        <f>ROUND(SUM(F17:F22),2)</f>
        <v>14617.36</v>
      </c>
      <c r="G23" s="14">
        <f>ROUND(SUM(G17:G22),2)</f>
        <v>15052.08</v>
      </c>
      <c r="H23" s="19"/>
      <c r="I23" s="14">
        <f>SUM(I17:I22)</f>
        <v>21999.508333333331</v>
      </c>
      <c r="J23" s="14">
        <f>SUM(J17:J22)</f>
        <v>22701.94733333333</v>
      </c>
      <c r="K23" s="14">
        <f>ROUND(SUM(K17:K22),2)</f>
        <v>15052.08</v>
      </c>
      <c r="N23" s="7"/>
      <c r="O23" s="7"/>
      <c r="P23" s="7"/>
    </row>
    <row r="24" spans="1:16" ht="18" customHeight="1">
      <c r="F24" s="14"/>
    </row>
    <row r="25" spans="1:16" ht="18" customHeight="1">
      <c r="A25" s="11" t="s">
        <v>41</v>
      </c>
    </row>
    <row r="26" spans="1:16" ht="18" customHeight="1">
      <c r="A26" s="1" t="s">
        <v>42</v>
      </c>
      <c r="E26" s="2" t="s">
        <v>34</v>
      </c>
      <c r="F26" s="63">
        <f>ROUND(+F15*22.5/12,2)</f>
        <v>937.5</v>
      </c>
      <c r="G26" s="63">
        <f>ROUND(+G15*22.5/12,2)</f>
        <v>937.5</v>
      </c>
      <c r="H26" s="2" t="s">
        <v>34</v>
      </c>
      <c r="I26" s="58">
        <f>+I15*22.5/12</f>
        <v>862.5</v>
      </c>
      <c r="J26" s="58">
        <f>+J15*22.5/12</f>
        <v>862.5</v>
      </c>
      <c r="K26" s="63">
        <f>ROUND(+K15*22.5/12,2)</f>
        <v>937.5</v>
      </c>
    </row>
    <row r="27" spans="1:16" ht="18" customHeight="1">
      <c r="A27" s="1" t="s">
        <v>43</v>
      </c>
      <c r="F27" s="63">
        <v>1282.5</v>
      </c>
      <c r="G27" s="63">
        <v>1330</v>
      </c>
      <c r="H27" s="63">
        <v>1187.5</v>
      </c>
      <c r="I27" s="63">
        <v>1900</v>
      </c>
      <c r="J27" s="63">
        <v>1900</v>
      </c>
      <c r="K27" s="63">
        <v>1330</v>
      </c>
    </row>
    <row r="28" spans="1:16" ht="18" customHeight="1">
      <c r="A28" s="1" t="s">
        <v>44</v>
      </c>
      <c r="F28" s="63">
        <v>0</v>
      </c>
      <c r="G28" s="63">
        <v>0</v>
      </c>
      <c r="H28" s="59"/>
      <c r="I28" s="63">
        <v>0</v>
      </c>
      <c r="J28" s="63">
        <v>142.5</v>
      </c>
      <c r="K28" s="63">
        <v>0</v>
      </c>
    </row>
    <row r="29" spans="1:16" ht="18" customHeight="1">
      <c r="A29" s="1" t="s">
        <v>45</v>
      </c>
      <c r="F29" s="63">
        <f>ROUND((F17*0.05)/2,2)</f>
        <v>326.04000000000002</v>
      </c>
      <c r="G29" s="63">
        <f t="shared" ref="G29:K29" si="0">ROUND((G17*0.05)/2,2)</f>
        <v>326.04000000000002</v>
      </c>
      <c r="H29" s="63">
        <f t="shared" si="0"/>
        <v>0</v>
      </c>
      <c r="I29" s="63">
        <f t="shared" si="0"/>
        <v>299.95999999999998</v>
      </c>
      <c r="J29" s="63">
        <f t="shared" si="0"/>
        <v>299.95999999999998</v>
      </c>
      <c r="K29" s="63">
        <f t="shared" si="0"/>
        <v>326.04000000000002</v>
      </c>
    </row>
    <row r="30" spans="1:16" ht="18" customHeight="1">
      <c r="A30" s="1" t="s">
        <v>46</v>
      </c>
      <c r="F30" s="63">
        <v>10</v>
      </c>
      <c r="G30" s="63">
        <v>10</v>
      </c>
      <c r="H30" s="59"/>
      <c r="I30" s="58">
        <v>30</v>
      </c>
      <c r="J30" s="58">
        <v>30</v>
      </c>
      <c r="K30" s="63">
        <v>10</v>
      </c>
    </row>
    <row r="31" spans="1:16" ht="18" customHeight="1">
      <c r="A31" s="1" t="s">
        <v>47</v>
      </c>
      <c r="F31" s="64">
        <v>100</v>
      </c>
      <c r="G31" s="64">
        <v>100</v>
      </c>
      <c r="H31" s="61"/>
      <c r="I31" s="60">
        <v>100</v>
      </c>
      <c r="J31" s="60">
        <v>100</v>
      </c>
      <c r="K31" s="64">
        <v>100</v>
      </c>
    </row>
    <row r="32" spans="1:16" ht="18" customHeight="1">
      <c r="F32" s="22">
        <f>ROUND(SUM(F26:F31),2)</f>
        <v>2656.04</v>
      </c>
      <c r="G32" s="22">
        <f>ROUND(SUM(G26:G31),2)</f>
        <v>2703.54</v>
      </c>
      <c r="H32" s="19"/>
      <c r="I32" s="14">
        <f>SUM(I26:I31)</f>
        <v>3192.46</v>
      </c>
      <c r="J32" s="14">
        <f>SUM(J26:J31)</f>
        <v>3334.96</v>
      </c>
      <c r="K32" s="22">
        <f>ROUND(SUM(K26:K31),2)</f>
        <v>2703.54</v>
      </c>
    </row>
    <row r="33" spans="1:11" ht="18" customHeight="1"/>
    <row r="34" spans="1:11" ht="18" customHeight="1">
      <c r="F34" s="11"/>
      <c r="G34" s="11"/>
      <c r="H34" s="8"/>
      <c r="K34" s="11"/>
    </row>
    <row r="35" spans="1:11" ht="18" customHeight="1">
      <c r="A35" s="11" t="s">
        <v>48</v>
      </c>
      <c r="E35" s="2" t="s">
        <v>34</v>
      </c>
      <c r="F35" s="23">
        <f>ROUND(+F23+F32,2)</f>
        <v>17273.400000000001</v>
      </c>
      <c r="G35" s="23">
        <f>ROUND(+G23+G32,2)</f>
        <v>17755.62</v>
      </c>
      <c r="H35" s="2" t="s">
        <v>34</v>
      </c>
      <c r="I35" s="23">
        <f>+I32+I23</f>
        <v>25191.968333333331</v>
      </c>
      <c r="J35" s="23">
        <f>+J32+J23</f>
        <v>26036.907333333329</v>
      </c>
      <c r="K35" s="23">
        <f>ROUND(+K23+K32,2)</f>
        <v>17755.62</v>
      </c>
    </row>
    <row r="36" spans="1:11" ht="18" customHeight="1"/>
    <row r="37" spans="1:11" ht="18" customHeight="1" thickBot="1">
      <c r="A37" s="11" t="s">
        <v>49</v>
      </c>
    </row>
    <row r="38" spans="1:11">
      <c r="A38" s="116" t="s">
        <v>50</v>
      </c>
      <c r="B38" s="116"/>
      <c r="C38" s="116"/>
      <c r="D38" s="78"/>
      <c r="F38" s="66" t="str">
        <f>IF(D38="","-",IF(D38&lt;20%,"ERROR",IF(D38&gt;24%,"ERROR",ROUND(+F35*D38,2))))</f>
        <v>-</v>
      </c>
      <c r="G38" s="66" t="str">
        <f>IF(D38="","-",IF(D38&lt;20%,"ERROR",IF(D38&gt;24%,"ERROR",ROUND(+G35*D38,2))))</f>
        <v>-</v>
      </c>
      <c r="H38" s="66"/>
      <c r="I38" s="106">
        <f>I35*0.24</f>
        <v>6046.0723999999991</v>
      </c>
      <c r="J38" s="106">
        <f>J35*0.24</f>
        <v>6248.857759999999</v>
      </c>
      <c r="K38" s="66" t="str">
        <f>IF(D38="","-",IF(D38&lt;20%,"ERROR",IF(D38&gt;24%,"ERROR",ROUND(+K35*D38,2))))</f>
        <v>-</v>
      </c>
    </row>
    <row r="39" spans="1:11" ht="18" customHeight="1">
      <c r="F39" s="11"/>
      <c r="G39" s="11"/>
      <c r="H39" s="8"/>
      <c r="I39" s="11"/>
      <c r="J39" s="11"/>
      <c r="K39" s="11"/>
    </row>
    <row r="40" spans="1:11" ht="18" customHeight="1">
      <c r="A40" s="11" t="s">
        <v>51</v>
      </c>
      <c r="F40" s="65" t="e">
        <f>ROUND(+F38*0.12,2)</f>
        <v>#VALUE!</v>
      </c>
      <c r="G40" s="65" t="e">
        <f>ROUND(+G38*0.12,2)</f>
        <v>#VALUE!</v>
      </c>
      <c r="H40" s="66"/>
      <c r="I40" s="65">
        <f>+I38*0.12</f>
        <v>725.52868799999987</v>
      </c>
      <c r="J40" s="65">
        <f>+J38*0.12</f>
        <v>749.86293119999982</v>
      </c>
      <c r="K40" s="65" t="e">
        <f>ROUND(+K38*0.12,2)</f>
        <v>#VALUE!</v>
      </c>
    </row>
    <row r="41" spans="1:11" ht="18" customHeight="1"/>
    <row r="42" spans="1:11" ht="18" customHeight="1" thickBot="1">
      <c r="A42" s="11" t="s">
        <v>52</v>
      </c>
      <c r="E42" s="2" t="s">
        <v>34</v>
      </c>
      <c r="F42" s="67" t="e">
        <f>ROUND(+F35+F38+F40,2)</f>
        <v>#VALUE!</v>
      </c>
      <c r="G42" s="67" t="e">
        <f>ROUND(+G35+G38+G40,2)</f>
        <v>#VALUE!</v>
      </c>
      <c r="H42" s="2" t="s">
        <v>34</v>
      </c>
      <c r="I42" s="27">
        <f>I35+I38+I40</f>
        <v>31963.569421333326</v>
      </c>
      <c r="J42" s="27">
        <f>J35+J38+J40</f>
        <v>33035.628024533326</v>
      </c>
      <c r="K42" s="67" t="e">
        <f>ROUND(+K35+K38+K40,2)</f>
        <v>#VALUE!</v>
      </c>
    </row>
    <row r="43" spans="1:11" ht="18" customHeight="1" thickTop="1"/>
    <row r="44" spans="1:11" ht="18" hidden="1" customHeight="1"/>
    <row r="45" spans="1:11">
      <c r="A45" s="11" t="s">
        <v>80</v>
      </c>
      <c r="F45" s="58"/>
      <c r="G45" s="58"/>
      <c r="H45" s="59"/>
      <c r="K45" s="58"/>
    </row>
    <row r="46" spans="1:11" hidden="1">
      <c r="B46" s="1" t="s">
        <v>54</v>
      </c>
      <c r="F46" s="14"/>
      <c r="G46" s="14"/>
      <c r="H46" s="19"/>
      <c r="I46" s="1" t="s">
        <v>55</v>
      </c>
      <c r="K46" s="14"/>
    </row>
    <row r="47" spans="1:11" hidden="1"/>
    <row r="48" spans="1:11" hidden="1">
      <c r="B48" s="1" t="s">
        <v>56</v>
      </c>
      <c r="C48" s="19">
        <f>F15/8</f>
        <v>62.5</v>
      </c>
      <c r="D48" s="19"/>
      <c r="I48" s="1" t="s">
        <v>56</v>
      </c>
      <c r="J48" s="19">
        <f>I15/8</f>
        <v>57.5</v>
      </c>
    </row>
    <row r="49" spans="1:11" hidden="1">
      <c r="A49" s="2">
        <v>295</v>
      </c>
      <c r="B49" s="1" t="s">
        <v>57</v>
      </c>
      <c r="F49" s="58">
        <f>ROUND((C48*1.25*A49*4),2)</f>
        <v>92187.5</v>
      </c>
      <c r="I49" s="1" t="s">
        <v>58</v>
      </c>
      <c r="J49" s="68">
        <f>ROUND((J48*1.375*A49*4),2)</f>
        <v>93293.75</v>
      </c>
    </row>
    <row r="50" spans="1:11" hidden="1">
      <c r="A50" s="2">
        <v>12</v>
      </c>
      <c r="B50" s="1" t="s">
        <v>59</v>
      </c>
      <c r="F50" s="58">
        <f>ROUND((C48*2.6*A50*4),2)</f>
        <v>7800</v>
      </c>
      <c r="I50" s="1" t="s">
        <v>60</v>
      </c>
      <c r="J50" s="68">
        <f>ROUND((J48*2.86*A50*4),2)</f>
        <v>7893.6</v>
      </c>
    </row>
    <row r="51" spans="1:11" hidden="1">
      <c r="A51" s="2">
        <v>6</v>
      </c>
      <c r="B51" s="1" t="s">
        <v>61</v>
      </c>
      <c r="F51" s="58">
        <f>ROUND((C48*1.69*A51*4),2)</f>
        <v>2535</v>
      </c>
      <c r="I51" s="1" t="s">
        <v>62</v>
      </c>
      <c r="J51" s="62">
        <f>ROUND((J48*1.859*A51*4),2)</f>
        <v>2565.42</v>
      </c>
    </row>
    <row r="52" spans="1:11" hidden="1">
      <c r="F52" s="29">
        <f>SUM(F49:F51)</f>
        <v>102522.5</v>
      </c>
      <c r="J52" s="68">
        <f>SUM(J49:J51)</f>
        <v>103752.77</v>
      </c>
    </row>
    <row r="53" spans="1:11" hidden="1">
      <c r="B53" s="1" t="s">
        <v>63</v>
      </c>
      <c r="F53" s="30">
        <v>12</v>
      </c>
      <c r="I53" s="1" t="s">
        <v>64</v>
      </c>
      <c r="J53" s="30">
        <v>12</v>
      </c>
    </row>
    <row r="54" spans="1:11" ht="16.5" hidden="1" thickBot="1">
      <c r="B54" s="1" t="s">
        <v>65</v>
      </c>
      <c r="F54" s="67">
        <f>F52/F53</f>
        <v>8543.5416666666661</v>
      </c>
      <c r="I54" s="1" t="s">
        <v>66</v>
      </c>
      <c r="J54" s="31">
        <f>J52/J53</f>
        <v>8646.064166666667</v>
      </c>
    </row>
    <row r="55" spans="1:11" ht="16.5" hidden="1" thickTop="1">
      <c r="F55" s="14"/>
    </row>
    <row r="56" spans="1:11" hidden="1">
      <c r="B56" s="11" t="s">
        <v>67</v>
      </c>
      <c r="F56" s="14"/>
      <c r="I56" s="11"/>
    </row>
    <row r="57" spans="1:11" ht="15" hidden="1" customHeight="1">
      <c r="B57" s="1" t="s">
        <v>68</v>
      </c>
    </row>
    <row r="58" spans="1:11" hidden="1">
      <c r="B58" s="1" t="s">
        <v>69</v>
      </c>
    </row>
    <row r="59" spans="1:11" hidden="1"/>
    <row r="60" spans="1:11" ht="16.5" hidden="1" thickBot="1">
      <c r="B60" s="1" t="s">
        <v>70</v>
      </c>
      <c r="F60" s="69">
        <f>F23-F19</f>
        <v>13350</v>
      </c>
      <c r="G60" s="69">
        <f t="shared" ref="G60:H60" si="1">G23-G19</f>
        <v>13784.72</v>
      </c>
      <c r="H60" s="70">
        <f t="shared" si="1"/>
        <v>0</v>
      </c>
      <c r="I60" s="69">
        <f>I23-I19</f>
        <v>20833.53833333333</v>
      </c>
      <c r="J60" s="69">
        <f>J23-J19</f>
        <v>21535.977333333329</v>
      </c>
      <c r="K60" s="69">
        <f t="shared" ref="K60" si="2">K23-K19</f>
        <v>13784.72</v>
      </c>
    </row>
    <row r="61" spans="1:11" ht="16.5" hidden="1" thickTop="1"/>
    <row r="63" spans="1:11">
      <c r="A63" s="1" t="s">
        <v>71</v>
      </c>
      <c r="E63" s="1"/>
      <c r="F63" s="71">
        <v>2</v>
      </c>
      <c r="G63" s="71">
        <v>1</v>
      </c>
      <c r="I63" s="71"/>
      <c r="J63" s="71"/>
      <c r="K63" s="71">
        <v>1</v>
      </c>
    </row>
    <row r="64" spans="1:11">
      <c r="E64" s="1"/>
      <c r="F64" s="72"/>
      <c r="G64" s="72"/>
      <c r="I64" s="72"/>
      <c r="J64" s="72"/>
      <c r="K64" s="72"/>
    </row>
    <row r="65" spans="1:13">
      <c r="A65" s="1" t="s">
        <v>72</v>
      </c>
      <c r="E65" s="1"/>
      <c r="F65" s="72" t="e">
        <f>ROUND(F42*F63,2)</f>
        <v>#VALUE!</v>
      </c>
      <c r="G65" s="72" t="e">
        <f>ROUND(G42*G63,2)</f>
        <v>#VALUE!</v>
      </c>
      <c r="I65" s="72">
        <f>I42*I63</f>
        <v>0</v>
      </c>
      <c r="J65" s="72">
        <f>J42*J63</f>
        <v>0</v>
      </c>
      <c r="K65" s="72" t="e">
        <f>ROUND(K42*K63,2)</f>
        <v>#VALUE!</v>
      </c>
    </row>
    <row r="66" spans="1:13">
      <c r="E66" s="1"/>
    </row>
    <row r="67" spans="1:13" ht="16.5" thickBot="1">
      <c r="A67" s="1" t="s">
        <v>81</v>
      </c>
      <c r="E67" s="1"/>
      <c r="F67" s="75" t="e">
        <f>ROUND(F65*12,2)</f>
        <v>#VALUE!</v>
      </c>
      <c r="G67" s="75" t="e">
        <f>ROUND(G65*12,2)</f>
        <v>#VALUE!</v>
      </c>
      <c r="I67" s="75">
        <f>I65*12</f>
        <v>0</v>
      </c>
      <c r="J67" s="75">
        <f>J65*12</f>
        <v>0</v>
      </c>
      <c r="K67" s="75" t="e">
        <f>ROUND(K65*12,2)</f>
        <v>#VALUE!</v>
      </c>
      <c r="M67" s="7"/>
    </row>
    <row r="68" spans="1:13" ht="16.5" thickTop="1"/>
    <row r="69" spans="1:13" ht="19.5" thickBot="1">
      <c r="K69" s="77" t="e">
        <f>SUM(F67,G67,K67)</f>
        <v>#VALUE!</v>
      </c>
    </row>
    <row r="70" spans="1:13" ht="16.5" thickTop="1"/>
  </sheetData>
  <sheetProtection algorithmName="SHA-512" hashValue="Fsv2BxYVS+eleoyuyO0LCbdQNIZPu6rpcyNXxRH8MaLfpqb40fHcC4gPEqwA9y/PzUYBj/aPyegoo63uYLV1Mg==" saltValue="fqssanPyhWUxfDMbi9Smdg==" spinCount="100000" sheet="1" objects="1" scenarios="1"/>
  <mergeCells count="5">
    <mergeCell ref="A38:C38"/>
    <mergeCell ref="F8:K8"/>
    <mergeCell ref="A2:K2"/>
    <mergeCell ref="A3:K3"/>
    <mergeCell ref="A4:K4"/>
  </mergeCells>
  <conditionalFormatting sqref="D38">
    <cfRule type="containsBlanks" dxfId="5" priority="1">
      <formula>LEN(TRIM(D38))=0</formula>
    </cfRule>
  </conditionalFormatting>
  <pageMargins left="0.70866141732283472" right="0.70866141732283472" top="0.74803149606299213" bottom="0.74803149606299213" header="0.31496062992125984" footer="0.31496062992125984"/>
  <pageSetup paperSize="9" scale="68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FDD40-2B3C-4317-95F6-C49FBD842801}">
  <sheetPr>
    <pageSetUpPr fitToPage="1"/>
  </sheetPr>
  <dimension ref="A1:P71"/>
  <sheetViews>
    <sheetView topLeftCell="A22" zoomScaleNormal="100" workbookViewId="0">
      <selection activeCell="D38" sqref="D38"/>
    </sheetView>
  </sheetViews>
  <sheetFormatPr defaultColWidth="9.140625" defaultRowHeight="15.75"/>
  <cols>
    <col min="1" max="1" width="4.5703125" style="1" customWidth="1"/>
    <col min="2" max="2" width="27.140625" style="1" customWidth="1"/>
    <col min="3" max="3" width="32.7109375" style="1" customWidth="1"/>
    <col min="4" max="4" width="7.85546875" style="1" customWidth="1"/>
    <col min="5" max="5" width="2.42578125" style="2" bestFit="1" customWidth="1"/>
    <col min="6" max="6" width="18.140625" style="1" customWidth="1"/>
    <col min="7" max="7" width="18" style="1" customWidth="1"/>
    <col min="8" max="8" width="2.42578125" style="2" hidden="1" customWidth="1"/>
    <col min="9" max="9" width="23.85546875" style="1" hidden="1" customWidth="1"/>
    <col min="10" max="10" width="21.5703125" style="1" hidden="1" customWidth="1"/>
    <col min="11" max="11" width="18" style="1" customWidth="1"/>
    <col min="12" max="13" width="9.140625" style="1"/>
    <col min="14" max="14" width="14.85546875" style="1" bestFit="1" customWidth="1"/>
    <col min="15" max="15" width="12.42578125" style="1" customWidth="1"/>
    <col min="16" max="16" width="11.85546875" style="1" bestFit="1" customWidth="1"/>
    <col min="17" max="16384" width="9.140625" style="1"/>
  </cols>
  <sheetData>
    <row r="1" spans="1:11">
      <c r="A1" s="3"/>
      <c r="B1" s="3"/>
      <c r="C1" s="3"/>
      <c r="D1" s="3"/>
      <c r="E1" s="5"/>
      <c r="F1" s="3"/>
      <c r="G1" s="3"/>
      <c r="H1" s="5"/>
      <c r="I1" s="3"/>
      <c r="J1" s="3"/>
      <c r="K1" s="3"/>
    </row>
    <row r="2" spans="1:11">
      <c r="A2" s="117" t="s">
        <v>75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</row>
    <row r="3" spans="1:11">
      <c r="A3" s="118" t="s">
        <v>76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</row>
    <row r="4" spans="1:11">
      <c r="A4" s="118" t="s">
        <v>77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</row>
    <row r="5" spans="1:11">
      <c r="I5" s="1" t="s">
        <v>78</v>
      </c>
    </row>
    <row r="7" spans="1:11">
      <c r="I7" s="1" t="s">
        <v>78</v>
      </c>
    </row>
    <row r="8" spans="1:11" ht="18" customHeight="1">
      <c r="F8" s="117" t="s">
        <v>79</v>
      </c>
      <c r="G8" s="117"/>
      <c r="H8" s="117"/>
      <c r="I8" s="117"/>
      <c r="J8" s="117"/>
      <c r="K8" s="117"/>
    </row>
    <row r="9" spans="1:11" ht="18" customHeight="1">
      <c r="A9" s="1" t="s">
        <v>24</v>
      </c>
      <c r="F9" s="2" t="s">
        <v>25</v>
      </c>
      <c r="G9" s="2" t="s">
        <v>25</v>
      </c>
      <c r="I9" s="2" t="s">
        <v>25</v>
      </c>
      <c r="J9" s="2" t="s">
        <v>25</v>
      </c>
      <c r="K9" s="2" t="s">
        <v>25</v>
      </c>
    </row>
    <row r="10" spans="1:11" ht="18" customHeight="1">
      <c r="A10" s="1" t="s">
        <v>26</v>
      </c>
      <c r="F10" s="2">
        <v>313</v>
      </c>
      <c r="G10" s="2">
        <v>313</v>
      </c>
      <c r="I10" s="2">
        <v>313</v>
      </c>
      <c r="J10" s="2">
        <v>313</v>
      </c>
      <c r="K10" s="2">
        <v>313</v>
      </c>
    </row>
    <row r="11" spans="1:11" ht="18" customHeight="1">
      <c r="F11" s="2" t="s">
        <v>27</v>
      </c>
      <c r="G11" s="2" t="s">
        <v>27</v>
      </c>
      <c r="I11" s="2" t="s">
        <v>28</v>
      </c>
      <c r="J11" s="2" t="s">
        <v>28</v>
      </c>
      <c r="K11" s="2" t="s">
        <v>27</v>
      </c>
    </row>
    <row r="12" spans="1:11" ht="18" customHeight="1">
      <c r="F12" s="2" t="s">
        <v>29</v>
      </c>
      <c r="G12" s="2" t="s">
        <v>30</v>
      </c>
      <c r="I12" s="2" t="s">
        <v>29</v>
      </c>
      <c r="J12" s="2" t="s">
        <v>30</v>
      </c>
      <c r="K12" s="2" t="s">
        <v>31</v>
      </c>
    </row>
    <row r="13" spans="1:11" ht="18" customHeight="1"/>
    <row r="14" spans="1:11" ht="18" customHeight="1">
      <c r="A14" s="11" t="s">
        <v>32</v>
      </c>
    </row>
    <row r="15" spans="1:11" ht="18" customHeight="1">
      <c r="A15" s="1" t="s">
        <v>33</v>
      </c>
      <c r="E15" s="2" t="s">
        <v>34</v>
      </c>
      <c r="F15" s="58">
        <v>500</v>
      </c>
      <c r="G15" s="58">
        <v>500</v>
      </c>
      <c r="H15" s="2" t="s">
        <v>34</v>
      </c>
      <c r="I15" s="58">
        <v>460</v>
      </c>
      <c r="J15" s="58">
        <v>460</v>
      </c>
      <c r="K15" s="58">
        <v>500</v>
      </c>
    </row>
    <row r="16" spans="1:11" ht="18" customHeight="1"/>
    <row r="17" spans="1:16">
      <c r="A17" s="1" t="s">
        <v>35</v>
      </c>
      <c r="F17" s="58">
        <f>ROUND((F15*F10/12),2)</f>
        <v>13041.67</v>
      </c>
      <c r="G17" s="58">
        <f>ROUND((G15*G10/12),2)</f>
        <v>13041.67</v>
      </c>
      <c r="H17" s="59"/>
      <c r="I17" s="58">
        <f>ROUND((I15*I10/12),2)</f>
        <v>11998.33</v>
      </c>
      <c r="J17" s="58">
        <f>ROUND((J15*J10/12),2)</f>
        <v>11998.33</v>
      </c>
      <c r="K17" s="58">
        <f>ROUND((K15*K10/12),2)</f>
        <v>13041.67</v>
      </c>
    </row>
    <row r="18" spans="1:16" ht="19.5" customHeight="1">
      <c r="A18" s="1" t="s">
        <v>36</v>
      </c>
      <c r="F18" s="58">
        <v>0</v>
      </c>
      <c r="G18" s="58">
        <f>ROUND(G17*10%*1/3,2)</f>
        <v>434.72</v>
      </c>
      <c r="H18" s="59"/>
      <c r="I18" s="58">
        <v>0</v>
      </c>
      <c r="J18" s="58">
        <f>+J17*10%*1/2</f>
        <v>599.91650000000004</v>
      </c>
      <c r="K18" s="58">
        <f>ROUND(K17*10%*1/3,2)</f>
        <v>434.72</v>
      </c>
    </row>
    <row r="19" spans="1:16" ht="18" customHeight="1">
      <c r="A19" s="1" t="s">
        <v>37</v>
      </c>
      <c r="F19" s="58">
        <f>ROUND((F15*365/12/12),2)</f>
        <v>1267.3599999999999</v>
      </c>
      <c r="G19" s="58">
        <f>ROUND((G15*365/12/12),2)</f>
        <v>1267.3599999999999</v>
      </c>
      <c r="H19" s="59"/>
      <c r="I19" s="58">
        <f>ROUND((I15*365/12/12),2)</f>
        <v>1165.97</v>
      </c>
      <c r="J19" s="58">
        <f>ROUND((J15*365/12/12),2)</f>
        <v>1165.97</v>
      </c>
      <c r="K19" s="58">
        <f>ROUND((K15*365/12/12),2)</f>
        <v>1267.3599999999999</v>
      </c>
    </row>
    <row r="20" spans="1:16" ht="18" customHeight="1">
      <c r="A20" s="1" t="s">
        <v>38</v>
      </c>
      <c r="F20" s="58">
        <f>ROUND(+F15*(5/12),2)</f>
        <v>208.33</v>
      </c>
      <c r="G20" s="58">
        <f>ROUND(+G15*(5/12),2)</f>
        <v>208.33</v>
      </c>
      <c r="H20" s="59"/>
      <c r="I20" s="14">
        <f>I15*(5/12)</f>
        <v>191.66666666666669</v>
      </c>
      <c r="J20" s="14">
        <f>J15*(5/12)</f>
        <v>191.66666666666669</v>
      </c>
      <c r="K20" s="58">
        <f>ROUND(+K15*(5/12),2)</f>
        <v>208.33</v>
      </c>
    </row>
    <row r="21" spans="1:16" ht="18" customHeight="1">
      <c r="A21" s="1" t="s">
        <v>39</v>
      </c>
      <c r="F21" s="58">
        <v>100</v>
      </c>
      <c r="G21" s="58">
        <v>100</v>
      </c>
      <c r="H21" s="59"/>
      <c r="I21" s="15">
        <v>100</v>
      </c>
      <c r="J21" s="58">
        <v>100</v>
      </c>
      <c r="K21" s="58">
        <v>100</v>
      </c>
    </row>
    <row r="22" spans="1:16" ht="21" customHeight="1">
      <c r="A22" s="1" t="s">
        <v>40</v>
      </c>
      <c r="F22" s="60">
        <v>0</v>
      </c>
      <c r="G22" s="60">
        <f>0*377/12</f>
        <v>0</v>
      </c>
      <c r="H22" s="61"/>
      <c r="I22" s="62">
        <f>+F54</f>
        <v>8543.5416666666661</v>
      </c>
      <c r="J22" s="62">
        <f>+J54</f>
        <v>8646.064166666667</v>
      </c>
      <c r="K22" s="60">
        <f>0*377/12</f>
        <v>0</v>
      </c>
    </row>
    <row r="23" spans="1:16" ht="18" customHeight="1">
      <c r="F23" s="14">
        <f>ROUND(SUM(F17:F22),2)</f>
        <v>14617.36</v>
      </c>
      <c r="G23" s="14">
        <f>ROUND(SUM(G17:G22),2)</f>
        <v>15052.08</v>
      </c>
      <c r="H23" s="19"/>
      <c r="I23" s="14">
        <f>SUM(I17:I22)</f>
        <v>21999.508333333331</v>
      </c>
      <c r="J23" s="14">
        <f>SUM(J17:J22)</f>
        <v>22701.94733333333</v>
      </c>
      <c r="K23" s="14">
        <f>ROUND(SUM(K17:K22),2)</f>
        <v>15052.08</v>
      </c>
      <c r="N23" s="7"/>
      <c r="O23" s="7"/>
      <c r="P23" s="7"/>
    </row>
    <row r="24" spans="1:16" ht="18" customHeight="1">
      <c r="F24" s="14"/>
    </row>
    <row r="25" spans="1:16" ht="18" customHeight="1">
      <c r="A25" s="11" t="s">
        <v>41</v>
      </c>
    </row>
    <row r="26" spans="1:16" ht="18" customHeight="1">
      <c r="A26" s="1" t="s">
        <v>42</v>
      </c>
      <c r="E26" s="2" t="s">
        <v>34</v>
      </c>
      <c r="F26" s="63">
        <f>ROUND(+F15*22.5/12,2)</f>
        <v>937.5</v>
      </c>
      <c r="G26" s="63">
        <f>ROUND(+G15*22.5/12,2)</f>
        <v>937.5</v>
      </c>
      <c r="H26" s="2" t="s">
        <v>34</v>
      </c>
      <c r="I26" s="58">
        <f>+I15*22.5/12</f>
        <v>862.5</v>
      </c>
      <c r="J26" s="58">
        <f>+J15*22.5/12</f>
        <v>862.5</v>
      </c>
      <c r="K26" s="63">
        <f>ROUND(+K15*22.5/12,2)</f>
        <v>937.5</v>
      </c>
    </row>
    <row r="27" spans="1:16" ht="18" customHeight="1">
      <c r="A27" s="1" t="s">
        <v>43</v>
      </c>
      <c r="F27" s="63">
        <v>1282.5</v>
      </c>
      <c r="G27" s="63">
        <v>1330</v>
      </c>
      <c r="H27" s="63">
        <v>1187.5</v>
      </c>
      <c r="I27" s="63">
        <v>1900</v>
      </c>
      <c r="J27" s="63">
        <v>1900</v>
      </c>
      <c r="K27" s="63">
        <v>1330</v>
      </c>
    </row>
    <row r="28" spans="1:16" ht="18" customHeight="1">
      <c r="A28" s="1" t="s">
        <v>44</v>
      </c>
      <c r="F28" s="63">
        <v>0</v>
      </c>
      <c r="G28" s="63">
        <v>0</v>
      </c>
      <c r="H28" s="59"/>
      <c r="I28" s="63">
        <v>0</v>
      </c>
      <c r="J28" s="63">
        <v>142.5</v>
      </c>
      <c r="K28" s="63">
        <v>0</v>
      </c>
    </row>
    <row r="29" spans="1:16" ht="18" customHeight="1">
      <c r="A29" s="1" t="s">
        <v>45</v>
      </c>
      <c r="F29" s="63">
        <f>ROUND((F17*0.05)/2,2)</f>
        <v>326.04000000000002</v>
      </c>
      <c r="G29" s="63">
        <f t="shared" ref="G29:K29" si="0">ROUND((G17*0.05)/2,2)</f>
        <v>326.04000000000002</v>
      </c>
      <c r="H29" s="63">
        <f t="shared" si="0"/>
        <v>0</v>
      </c>
      <c r="I29" s="63">
        <f t="shared" si="0"/>
        <v>299.95999999999998</v>
      </c>
      <c r="J29" s="63">
        <f t="shared" si="0"/>
        <v>299.95999999999998</v>
      </c>
      <c r="K29" s="63">
        <f t="shared" si="0"/>
        <v>326.04000000000002</v>
      </c>
    </row>
    <row r="30" spans="1:16" ht="18" customHeight="1">
      <c r="A30" s="1" t="s">
        <v>46</v>
      </c>
      <c r="F30" s="63">
        <v>10</v>
      </c>
      <c r="G30" s="63">
        <v>10</v>
      </c>
      <c r="H30" s="59"/>
      <c r="I30" s="58">
        <v>30</v>
      </c>
      <c r="J30" s="58">
        <v>30</v>
      </c>
      <c r="K30" s="63">
        <v>10</v>
      </c>
    </row>
    <row r="31" spans="1:16" ht="18" customHeight="1">
      <c r="A31" s="1" t="s">
        <v>47</v>
      </c>
      <c r="F31" s="64">
        <v>100</v>
      </c>
      <c r="G31" s="64">
        <v>100</v>
      </c>
      <c r="H31" s="61"/>
      <c r="I31" s="60">
        <v>100</v>
      </c>
      <c r="J31" s="60">
        <v>100</v>
      </c>
      <c r="K31" s="64">
        <v>100</v>
      </c>
    </row>
    <row r="32" spans="1:16" ht="18" customHeight="1">
      <c r="F32" s="22">
        <f>ROUND(SUM(F26:F31),2)</f>
        <v>2656.04</v>
      </c>
      <c r="G32" s="22">
        <f>ROUND(SUM(G26:G31),2)</f>
        <v>2703.54</v>
      </c>
      <c r="H32" s="19"/>
      <c r="I32" s="14">
        <f>SUM(I26:I31)</f>
        <v>3192.46</v>
      </c>
      <c r="J32" s="14">
        <f>SUM(J26:J31)</f>
        <v>3334.96</v>
      </c>
      <c r="K32" s="22">
        <f>ROUND(SUM(K26:K31),2)</f>
        <v>2703.54</v>
      </c>
    </row>
    <row r="33" spans="1:11" ht="18" customHeight="1"/>
    <row r="34" spans="1:11" ht="18" customHeight="1">
      <c r="F34" s="11"/>
      <c r="G34" s="11"/>
      <c r="H34" s="8"/>
      <c r="K34" s="11"/>
    </row>
    <row r="35" spans="1:11" ht="18" customHeight="1">
      <c r="A35" s="11" t="s">
        <v>48</v>
      </c>
      <c r="E35" s="2" t="s">
        <v>34</v>
      </c>
      <c r="F35" s="23">
        <f>ROUND(+F23+F32,2)</f>
        <v>17273.400000000001</v>
      </c>
      <c r="G35" s="23">
        <f>ROUND(+G23+G32,2)</f>
        <v>17755.62</v>
      </c>
      <c r="H35" s="2" t="s">
        <v>34</v>
      </c>
      <c r="I35" s="23">
        <f>+I32+I23</f>
        <v>25191.968333333331</v>
      </c>
      <c r="J35" s="23">
        <f>+J32+J23</f>
        <v>26036.907333333329</v>
      </c>
      <c r="K35" s="23">
        <f>ROUND(+K23+K32,2)</f>
        <v>17755.62</v>
      </c>
    </row>
    <row r="36" spans="1:11" ht="18" customHeight="1"/>
    <row r="37" spans="1:11" ht="18" customHeight="1" thickBot="1">
      <c r="A37" s="11" t="s">
        <v>49</v>
      </c>
    </row>
    <row r="38" spans="1:11">
      <c r="A38" s="116" t="s">
        <v>50</v>
      </c>
      <c r="B38" s="116"/>
      <c r="C38" s="116"/>
      <c r="D38" s="78"/>
      <c r="F38" s="66" t="str">
        <f>IF(D38="","-",IF(D38&lt;20%,"ERROR",IF(D38&gt;24%,"ERROR",ROUND(+F35*D38,2))))</f>
        <v>-</v>
      </c>
      <c r="G38" s="66" t="str">
        <f>IF(D38="","-",IF(D38&lt;20%,"ERROR",IF(D38&gt;24%,"ERROR",ROUND(+G35*D38,2))))</f>
        <v>-</v>
      </c>
      <c r="H38" s="66"/>
      <c r="I38" s="106">
        <f>I35*0.24</f>
        <v>6046.0723999999991</v>
      </c>
      <c r="J38" s="106">
        <f>J35*0.24</f>
        <v>6248.857759999999</v>
      </c>
      <c r="K38" s="66" t="str">
        <f>IF(D38="","-",IF(D38&lt;20%,"ERROR",IF(D38&gt;24%,"ERROR",ROUND(+K35*D38,2))))</f>
        <v>-</v>
      </c>
    </row>
    <row r="39" spans="1:11" ht="18" customHeight="1">
      <c r="F39" s="11"/>
      <c r="G39" s="11"/>
      <c r="H39" s="8"/>
      <c r="I39" s="11"/>
      <c r="J39" s="11"/>
      <c r="K39" s="11"/>
    </row>
    <row r="40" spans="1:11" ht="18" customHeight="1">
      <c r="A40" s="11" t="s">
        <v>51</v>
      </c>
      <c r="F40" s="65" t="e">
        <f>ROUND(+F38*0.12,2)</f>
        <v>#VALUE!</v>
      </c>
      <c r="G40" s="65" t="e">
        <f>ROUND(+G38*0.12,2)</f>
        <v>#VALUE!</v>
      </c>
      <c r="H40" s="66"/>
      <c r="I40" s="65">
        <f>+I38*0.12</f>
        <v>725.52868799999987</v>
      </c>
      <c r="J40" s="65">
        <f>+J38*0.12</f>
        <v>749.86293119999982</v>
      </c>
      <c r="K40" s="65" t="e">
        <f>ROUND(+K38*0.12,2)</f>
        <v>#VALUE!</v>
      </c>
    </row>
    <row r="41" spans="1:11" ht="18" customHeight="1"/>
    <row r="42" spans="1:11" ht="18" customHeight="1" thickBot="1">
      <c r="A42" s="11" t="s">
        <v>52</v>
      </c>
      <c r="E42" s="2" t="s">
        <v>34</v>
      </c>
      <c r="F42" s="67" t="e">
        <f>ROUND(+F35+F38+F40,2)</f>
        <v>#VALUE!</v>
      </c>
      <c r="G42" s="67" t="e">
        <f>ROUND(+G35+G38+G40,2)</f>
        <v>#VALUE!</v>
      </c>
      <c r="H42" s="2" t="s">
        <v>34</v>
      </c>
      <c r="I42" s="27">
        <f>I35+I38+I40</f>
        <v>31963.569421333326</v>
      </c>
      <c r="J42" s="27">
        <f>J35+J38+J40</f>
        <v>33035.628024533326</v>
      </c>
      <c r="K42" s="67" t="e">
        <f>ROUND(+K35+K38+K40,2)</f>
        <v>#VALUE!</v>
      </c>
    </row>
    <row r="43" spans="1:11" ht="18" customHeight="1" thickTop="1"/>
    <row r="44" spans="1:11" ht="18" hidden="1" customHeight="1"/>
    <row r="45" spans="1:11" hidden="1">
      <c r="F45" s="58"/>
      <c r="G45" s="58"/>
      <c r="H45" s="59"/>
      <c r="K45" s="58"/>
    </row>
    <row r="46" spans="1:11" hidden="1">
      <c r="B46" s="1" t="s">
        <v>54</v>
      </c>
      <c r="F46" s="14"/>
      <c r="G46" s="14"/>
      <c r="H46" s="19"/>
      <c r="I46" s="1" t="s">
        <v>55</v>
      </c>
      <c r="K46" s="14"/>
    </row>
    <row r="47" spans="1:11" hidden="1"/>
    <row r="48" spans="1:11" hidden="1">
      <c r="B48" s="1" t="s">
        <v>56</v>
      </c>
      <c r="C48" s="19">
        <f>F15/8</f>
        <v>62.5</v>
      </c>
      <c r="D48" s="19"/>
      <c r="I48" s="1" t="s">
        <v>56</v>
      </c>
      <c r="J48" s="19">
        <f>I15/8</f>
        <v>57.5</v>
      </c>
    </row>
    <row r="49" spans="1:11" hidden="1">
      <c r="A49" s="2">
        <v>295</v>
      </c>
      <c r="B49" s="1" t="s">
        <v>57</v>
      </c>
      <c r="F49" s="58">
        <f>ROUND((C48*1.25*A49*4),2)</f>
        <v>92187.5</v>
      </c>
      <c r="I49" s="1" t="s">
        <v>58</v>
      </c>
      <c r="J49" s="68">
        <f>ROUND((J48*1.375*A49*4),2)</f>
        <v>93293.75</v>
      </c>
    </row>
    <row r="50" spans="1:11" hidden="1">
      <c r="A50" s="2">
        <v>12</v>
      </c>
      <c r="B50" s="1" t="s">
        <v>59</v>
      </c>
      <c r="F50" s="58">
        <f>ROUND((C48*2.6*A50*4),2)</f>
        <v>7800</v>
      </c>
      <c r="I50" s="1" t="s">
        <v>60</v>
      </c>
      <c r="J50" s="68">
        <f>ROUND((J48*2.86*A50*4),2)</f>
        <v>7893.6</v>
      </c>
    </row>
    <row r="51" spans="1:11" hidden="1">
      <c r="A51" s="2">
        <v>6</v>
      </c>
      <c r="B51" s="1" t="s">
        <v>61</v>
      </c>
      <c r="F51" s="58">
        <f>ROUND((C48*1.69*A51*4),2)</f>
        <v>2535</v>
      </c>
      <c r="I51" s="1" t="s">
        <v>62</v>
      </c>
      <c r="J51" s="62">
        <f>ROUND((J48*1.859*A51*4),2)</f>
        <v>2565.42</v>
      </c>
    </row>
    <row r="52" spans="1:11" hidden="1">
      <c r="F52" s="29">
        <f>SUM(F49:F51)</f>
        <v>102522.5</v>
      </c>
      <c r="J52" s="68">
        <f>SUM(J49:J51)</f>
        <v>103752.77</v>
      </c>
    </row>
    <row r="53" spans="1:11" hidden="1">
      <c r="B53" s="1" t="s">
        <v>63</v>
      </c>
      <c r="F53" s="30">
        <v>12</v>
      </c>
      <c r="I53" s="1" t="s">
        <v>64</v>
      </c>
      <c r="J53" s="30">
        <v>12</v>
      </c>
    </row>
    <row r="54" spans="1:11" ht="16.5" hidden="1" thickBot="1">
      <c r="B54" s="1" t="s">
        <v>65</v>
      </c>
      <c r="F54" s="67">
        <f>F52/F53</f>
        <v>8543.5416666666661</v>
      </c>
      <c r="I54" s="1" t="s">
        <v>66</v>
      </c>
      <c r="J54" s="31">
        <f>J52/J53</f>
        <v>8646.064166666667</v>
      </c>
    </row>
    <row r="55" spans="1:11" ht="16.5" hidden="1" thickTop="1">
      <c r="F55" s="14"/>
    </row>
    <row r="56" spans="1:11" hidden="1">
      <c r="B56" s="11" t="s">
        <v>67</v>
      </c>
      <c r="F56" s="14"/>
      <c r="I56" s="11"/>
    </row>
    <row r="57" spans="1:11" ht="15" hidden="1" customHeight="1">
      <c r="B57" s="1" t="s">
        <v>68</v>
      </c>
    </row>
    <row r="58" spans="1:11" hidden="1">
      <c r="B58" s="1" t="s">
        <v>69</v>
      </c>
    </row>
    <row r="59" spans="1:11" hidden="1"/>
    <row r="60" spans="1:11" ht="16.5" hidden="1" thickBot="1">
      <c r="B60" s="1" t="s">
        <v>70</v>
      </c>
      <c r="F60" s="69">
        <f>F23-F19</f>
        <v>13350</v>
      </c>
      <c r="G60" s="69">
        <f t="shared" ref="G60:H60" si="1">G23-G19</f>
        <v>13784.72</v>
      </c>
      <c r="H60" s="70">
        <f t="shared" si="1"/>
        <v>0</v>
      </c>
      <c r="I60" s="69">
        <f>I23-I19</f>
        <v>20833.53833333333</v>
      </c>
      <c r="J60" s="69">
        <f>J23-J19</f>
        <v>21535.977333333329</v>
      </c>
      <c r="K60" s="69">
        <f t="shared" ref="K60" si="2">K23-K19</f>
        <v>13784.72</v>
      </c>
    </row>
    <row r="61" spans="1:11" hidden="1"/>
    <row r="62" spans="1:11">
      <c r="A62" s="11" t="s">
        <v>80</v>
      </c>
    </row>
    <row r="64" spans="1:11">
      <c r="A64" s="1" t="s">
        <v>71</v>
      </c>
      <c r="F64" s="71">
        <v>3</v>
      </c>
      <c r="G64" s="71">
        <v>1</v>
      </c>
      <c r="K64" s="71">
        <v>1</v>
      </c>
    </row>
    <row r="65" spans="1:14">
      <c r="F65" s="72"/>
      <c r="G65" s="72"/>
      <c r="K65" s="72"/>
    </row>
    <row r="66" spans="1:14">
      <c r="A66" s="1" t="s">
        <v>72</v>
      </c>
      <c r="F66" s="72" t="e">
        <f>ROUND(F42*F64,2)</f>
        <v>#VALUE!</v>
      </c>
      <c r="G66" s="72" t="e">
        <f>ROUND(G42*G64,2)</f>
        <v>#VALUE!</v>
      </c>
      <c r="K66" s="72" t="e">
        <f>ROUND(K42*K64,2)</f>
        <v>#VALUE!</v>
      </c>
    </row>
    <row r="68" spans="1:14" ht="16.5" thickBot="1">
      <c r="A68" s="1" t="s">
        <v>82</v>
      </c>
      <c r="F68" s="75" t="e">
        <f>ROUND(F66*12,2)</f>
        <v>#VALUE!</v>
      </c>
      <c r="G68" s="75" t="e">
        <f>ROUND(G66*12,2)</f>
        <v>#VALUE!</v>
      </c>
      <c r="H68" s="74"/>
      <c r="I68" s="73"/>
      <c r="J68" s="73"/>
      <c r="K68" s="75" t="e">
        <f>ROUND(K66*12,2)</f>
        <v>#VALUE!</v>
      </c>
      <c r="N68" s="7"/>
    </row>
    <row r="69" spans="1:14" ht="16.5" thickTop="1"/>
    <row r="70" spans="1:14" ht="19.5" thickBot="1">
      <c r="K70" s="77" t="e">
        <f>SUM(K68,G68,F68)</f>
        <v>#VALUE!</v>
      </c>
    </row>
    <row r="71" spans="1:14" ht="16.5" thickTop="1"/>
  </sheetData>
  <sheetProtection algorithmName="SHA-512" hashValue="7YZDeeQcWwiyFTLrSGf11/ld+bSFkC4BGvGzLZWrl9iiqSgRfMk06lrEYd0b+KD8nESe6BSIWc9A7sl9wRlmGQ==" saltValue="Ok2GcryW8ulNu+s7ClK4fQ==" spinCount="100000" sheet="1" objects="1" scenarios="1"/>
  <mergeCells count="5">
    <mergeCell ref="A2:K2"/>
    <mergeCell ref="A38:C38"/>
    <mergeCell ref="A4:K4"/>
    <mergeCell ref="A3:K3"/>
    <mergeCell ref="F8:K8"/>
  </mergeCells>
  <conditionalFormatting sqref="D38">
    <cfRule type="containsBlanks" dxfId="4" priority="1">
      <formula>LEN(TRIM(D38))=0</formula>
    </cfRule>
  </conditionalFormatting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A06C6-A670-4FFE-BD1D-062A26DBF40D}">
  <sheetPr>
    <pageSetUpPr fitToPage="1"/>
  </sheetPr>
  <dimension ref="A2:O72"/>
  <sheetViews>
    <sheetView topLeftCell="A33" zoomScale="98" zoomScaleNormal="98" workbookViewId="0">
      <selection activeCell="D38" sqref="D38"/>
    </sheetView>
  </sheetViews>
  <sheetFormatPr defaultColWidth="9.140625" defaultRowHeight="15.75"/>
  <cols>
    <col min="1" max="1" width="4.5703125" style="1" customWidth="1"/>
    <col min="2" max="2" width="27.140625" style="1" customWidth="1"/>
    <col min="3" max="3" width="34.28515625" style="1" customWidth="1"/>
    <col min="4" max="4" width="8.42578125" style="1" customWidth="1"/>
    <col min="5" max="5" width="2.42578125" style="2" customWidth="1"/>
    <col min="6" max="6" width="18.140625" style="1" hidden="1" customWidth="1"/>
    <col min="7" max="7" width="18" style="1" hidden="1" customWidth="1"/>
    <col min="8" max="8" width="2.42578125" style="2" hidden="1" customWidth="1"/>
    <col min="9" max="9" width="23.85546875" style="1" customWidth="1"/>
    <col min="10" max="10" width="21.5703125" style="1" customWidth="1"/>
    <col min="11" max="11" width="2" style="1" customWidth="1"/>
    <col min="12" max="13" width="9.140625" style="1"/>
    <col min="14" max="14" width="14.5703125" style="1" customWidth="1"/>
    <col min="15" max="15" width="11" style="1" customWidth="1"/>
    <col min="16" max="16384" width="9.140625" style="1"/>
  </cols>
  <sheetData>
    <row r="2" spans="1:11">
      <c r="A2" s="117" t="s">
        <v>75</v>
      </c>
      <c r="B2" s="117"/>
      <c r="C2" s="117"/>
      <c r="D2" s="117"/>
      <c r="E2" s="117"/>
      <c r="F2" s="117"/>
      <c r="G2" s="117"/>
      <c r="H2" s="117"/>
      <c r="I2" s="117"/>
      <c r="J2" s="117"/>
    </row>
    <row r="3" spans="1:11">
      <c r="A3" s="118" t="s">
        <v>76</v>
      </c>
      <c r="B3" s="118"/>
      <c r="C3" s="118"/>
      <c r="D3" s="118"/>
      <c r="E3" s="118"/>
      <c r="F3" s="118"/>
      <c r="G3" s="118"/>
      <c r="H3" s="118"/>
      <c r="I3" s="118"/>
      <c r="J3" s="118"/>
    </row>
    <row r="4" spans="1:11">
      <c r="A4" s="118" t="s">
        <v>77</v>
      </c>
      <c r="B4" s="118"/>
      <c r="C4" s="118"/>
      <c r="D4" s="118"/>
      <c r="E4" s="118"/>
      <c r="F4" s="118"/>
      <c r="G4" s="118"/>
      <c r="H4" s="118"/>
      <c r="I4" s="118"/>
      <c r="J4" s="118"/>
    </row>
    <row r="5" spans="1:11">
      <c r="I5" s="1" t="s">
        <v>78</v>
      </c>
    </row>
    <row r="7" spans="1:11">
      <c r="I7" s="1" t="s">
        <v>78</v>
      </c>
    </row>
    <row r="8" spans="1:11" ht="18" customHeight="1">
      <c r="F8" s="117" t="s">
        <v>79</v>
      </c>
      <c r="G8" s="117"/>
      <c r="I8" s="117" t="s">
        <v>83</v>
      </c>
      <c r="J8" s="117"/>
    </row>
    <row r="9" spans="1:11" ht="18" customHeight="1">
      <c r="A9" s="1" t="s">
        <v>24</v>
      </c>
      <c r="F9" s="2" t="s">
        <v>25</v>
      </c>
      <c r="G9" s="2" t="s">
        <v>25</v>
      </c>
      <c r="I9" s="2" t="s">
        <v>25</v>
      </c>
      <c r="J9" s="2" t="s">
        <v>25</v>
      </c>
    </row>
    <row r="10" spans="1:11" ht="18" customHeight="1">
      <c r="A10" s="1" t="s">
        <v>26</v>
      </c>
      <c r="F10" s="2">
        <v>313</v>
      </c>
      <c r="G10" s="2">
        <v>313</v>
      </c>
      <c r="I10" s="2">
        <v>313</v>
      </c>
      <c r="J10" s="2">
        <v>313</v>
      </c>
    </row>
    <row r="11" spans="1:11" ht="18" customHeight="1">
      <c r="F11" s="2" t="s">
        <v>27</v>
      </c>
      <c r="G11" s="2" t="s">
        <v>27</v>
      </c>
      <c r="I11" s="2" t="s">
        <v>28</v>
      </c>
      <c r="J11" s="2" t="s">
        <v>28</v>
      </c>
    </row>
    <row r="12" spans="1:11" ht="18" customHeight="1">
      <c r="F12" s="2" t="s">
        <v>29</v>
      </c>
      <c r="G12" s="2" t="s">
        <v>30</v>
      </c>
      <c r="I12" s="2" t="s">
        <v>29</v>
      </c>
      <c r="J12" s="2" t="s">
        <v>84</v>
      </c>
    </row>
    <row r="13" spans="1:11" ht="18" customHeight="1"/>
    <row r="14" spans="1:11" ht="18" customHeight="1">
      <c r="A14" s="11" t="s">
        <v>32</v>
      </c>
    </row>
    <row r="15" spans="1:11" ht="18" customHeight="1">
      <c r="A15" s="1" t="s">
        <v>33</v>
      </c>
      <c r="E15" s="2" t="s">
        <v>34</v>
      </c>
      <c r="F15" s="58">
        <v>460</v>
      </c>
      <c r="G15" s="58">
        <v>460</v>
      </c>
      <c r="H15" s="2" t="s">
        <v>34</v>
      </c>
      <c r="I15" s="58">
        <v>500</v>
      </c>
      <c r="J15" s="58">
        <v>500</v>
      </c>
      <c r="K15" s="4"/>
    </row>
    <row r="16" spans="1:11" ht="18" customHeight="1"/>
    <row r="17" spans="1:15">
      <c r="A17" s="1" t="s">
        <v>35</v>
      </c>
      <c r="F17" s="58">
        <f>ROUND((F15*F10/12),2)</f>
        <v>11998.33</v>
      </c>
      <c r="G17" s="58">
        <f>ROUND((G15*G10/12),2)</f>
        <v>11998.33</v>
      </c>
      <c r="H17" s="59"/>
      <c r="I17" s="58">
        <f>ROUND((I15*I10/12),2)</f>
        <v>13041.67</v>
      </c>
      <c r="J17" s="58">
        <v>11998.33</v>
      </c>
    </row>
    <row r="18" spans="1:15" ht="19.5" customHeight="1">
      <c r="A18" s="1" t="s">
        <v>36</v>
      </c>
      <c r="F18" s="58">
        <v>0</v>
      </c>
      <c r="G18" s="58">
        <f>G17*10%*1/3</f>
        <v>399.94433333333336</v>
      </c>
      <c r="H18" s="59"/>
      <c r="I18" s="58">
        <v>0</v>
      </c>
      <c r="J18" s="58">
        <v>0</v>
      </c>
    </row>
    <row r="19" spans="1:15" ht="18" customHeight="1">
      <c r="A19" s="1" t="s">
        <v>37</v>
      </c>
      <c r="F19" s="58">
        <f>ROUND((F15*365/12/12),2)</f>
        <v>1165.97</v>
      </c>
      <c r="G19" s="58">
        <f>ROUND((G15*365/12/12),2)</f>
        <v>1165.97</v>
      </c>
      <c r="H19" s="59"/>
      <c r="I19" s="58">
        <f>ROUND((I15*365/12/12),2)</f>
        <v>1267.3599999999999</v>
      </c>
      <c r="J19" s="58">
        <v>1165.97</v>
      </c>
    </row>
    <row r="20" spans="1:15" ht="18" customHeight="1">
      <c r="A20" s="1" t="s">
        <v>38</v>
      </c>
      <c r="F20" s="58">
        <f>+F15*(5/12)</f>
        <v>191.66666666666669</v>
      </c>
      <c r="G20" s="58">
        <f>+G15*(5/12)</f>
        <v>191.66666666666669</v>
      </c>
      <c r="H20" s="59"/>
      <c r="I20" s="14">
        <f>ROUND(I15*(5/12),2)</f>
        <v>208.33</v>
      </c>
      <c r="J20" s="14">
        <v>191.66666666666669</v>
      </c>
    </row>
    <row r="21" spans="1:15" ht="18" customHeight="1">
      <c r="A21" s="1" t="s">
        <v>39</v>
      </c>
      <c r="F21" s="58">
        <v>100</v>
      </c>
      <c r="G21" s="58">
        <v>100</v>
      </c>
      <c r="H21" s="59"/>
      <c r="I21" s="15">
        <v>100</v>
      </c>
      <c r="J21" s="58">
        <v>100</v>
      </c>
    </row>
    <row r="22" spans="1:15" ht="21" customHeight="1">
      <c r="A22" s="1" t="s">
        <v>40</v>
      </c>
      <c r="F22" s="60">
        <v>0</v>
      </c>
      <c r="G22" s="60">
        <f>0*377/12</f>
        <v>0</v>
      </c>
      <c r="H22" s="61"/>
      <c r="I22" s="62">
        <f>+F54</f>
        <v>7860.0583333333334</v>
      </c>
      <c r="J22" s="62">
        <f>F54</f>
        <v>7860.0583333333334</v>
      </c>
    </row>
    <row r="23" spans="1:15" ht="18" customHeight="1">
      <c r="F23" s="14">
        <f>SUM(F17:F22)</f>
        <v>13455.966666666665</v>
      </c>
      <c r="G23" s="14">
        <f>SUM(G17:G22)</f>
        <v>13855.910999999998</v>
      </c>
      <c r="H23" s="19"/>
      <c r="I23" s="14">
        <f>ROUND(SUM(I17:I22),2)</f>
        <v>22477.42</v>
      </c>
      <c r="J23" s="14">
        <f>ROUND(SUM(J17:J22),2)</f>
        <v>21316.03</v>
      </c>
      <c r="N23" s="7"/>
      <c r="O23" s="7"/>
    </row>
    <row r="24" spans="1:15" ht="18" customHeight="1">
      <c r="F24" s="14"/>
    </row>
    <row r="25" spans="1:15" ht="18" customHeight="1">
      <c r="A25" s="11" t="s">
        <v>41</v>
      </c>
    </row>
    <row r="26" spans="1:15" ht="18" customHeight="1">
      <c r="A26" s="1" t="s">
        <v>42</v>
      </c>
      <c r="E26" s="2" t="s">
        <v>34</v>
      </c>
      <c r="F26" s="63">
        <f>+F15*22.5/12</f>
        <v>862.5</v>
      </c>
      <c r="G26" s="63">
        <f>+G15*22.5/12</f>
        <v>862.5</v>
      </c>
      <c r="H26" s="2" t="s">
        <v>34</v>
      </c>
      <c r="I26" s="58">
        <f>ROUND(+I15*22.5/12,2)</f>
        <v>937.5</v>
      </c>
      <c r="J26" s="58">
        <v>862.5</v>
      </c>
    </row>
    <row r="27" spans="1:15" ht="18" customHeight="1">
      <c r="A27" s="1" t="s">
        <v>43</v>
      </c>
      <c r="F27" s="63">
        <v>1187.5</v>
      </c>
      <c r="G27" s="63">
        <v>1187.5</v>
      </c>
      <c r="H27" s="59"/>
      <c r="I27" s="63">
        <v>1900</v>
      </c>
      <c r="J27" s="63">
        <v>1900</v>
      </c>
    </row>
    <row r="28" spans="1:15" ht="18" customHeight="1">
      <c r="A28" s="1" t="s">
        <v>44</v>
      </c>
      <c r="F28" s="63">
        <v>0</v>
      </c>
      <c r="G28" s="63">
        <v>0</v>
      </c>
      <c r="H28" s="59"/>
      <c r="I28" s="63">
        <v>95</v>
      </c>
      <c r="J28" s="63">
        <v>0</v>
      </c>
    </row>
    <row r="29" spans="1:15" ht="18" customHeight="1">
      <c r="A29" s="1" t="s">
        <v>45</v>
      </c>
      <c r="F29" s="63">
        <f>(F17*0.05)/2</f>
        <v>299.95825000000002</v>
      </c>
      <c r="G29" s="63">
        <f>(G17*0.05)/2</f>
        <v>299.95825000000002</v>
      </c>
      <c r="H29" s="59"/>
      <c r="I29" s="58">
        <f>ROUND((I17*0.05/2),2)</f>
        <v>326.04000000000002</v>
      </c>
      <c r="J29" s="58">
        <f>ROUND((J17*0.05/2),2)</f>
        <v>299.95999999999998</v>
      </c>
    </row>
    <row r="30" spans="1:15" ht="18" customHeight="1">
      <c r="A30" s="1" t="s">
        <v>46</v>
      </c>
      <c r="F30" s="63">
        <v>10</v>
      </c>
      <c r="G30" s="63">
        <v>10</v>
      </c>
      <c r="H30" s="59"/>
      <c r="I30" s="58">
        <v>30</v>
      </c>
      <c r="J30" s="58">
        <v>30</v>
      </c>
    </row>
    <row r="31" spans="1:15" ht="18" customHeight="1">
      <c r="A31" s="1" t="s">
        <v>47</v>
      </c>
      <c r="F31" s="64">
        <v>100</v>
      </c>
      <c r="G31" s="64">
        <v>100</v>
      </c>
      <c r="H31" s="61"/>
      <c r="I31" s="60">
        <v>100</v>
      </c>
      <c r="J31" s="60">
        <v>100</v>
      </c>
    </row>
    <row r="32" spans="1:15" ht="18" customHeight="1">
      <c r="F32" s="22">
        <f>SUM(F26:F31)</f>
        <v>2459.9582500000001</v>
      </c>
      <c r="G32" s="22">
        <f>SUM(G26:G31)</f>
        <v>2459.9582500000001</v>
      </c>
      <c r="H32" s="19"/>
      <c r="I32" s="14">
        <f>ROUND(SUM(I26:I31),2)</f>
        <v>3388.54</v>
      </c>
      <c r="J32" s="14">
        <f>ROUND(SUM(J26:J31),2)</f>
        <v>3192.46</v>
      </c>
    </row>
    <row r="33" spans="1:10" ht="18" customHeight="1"/>
    <row r="34" spans="1:10" ht="18" customHeight="1">
      <c r="F34" s="11"/>
      <c r="G34" s="11"/>
      <c r="H34" s="8"/>
    </row>
    <row r="35" spans="1:10" ht="18" customHeight="1">
      <c r="A35" s="11" t="s">
        <v>48</v>
      </c>
      <c r="E35" s="2" t="s">
        <v>34</v>
      </c>
      <c r="F35" s="23">
        <f>+F23+F32</f>
        <v>15915.924916666665</v>
      </c>
      <c r="G35" s="23">
        <f>+G23+G32</f>
        <v>16315.869249999998</v>
      </c>
      <c r="H35" s="2" t="s">
        <v>34</v>
      </c>
      <c r="I35" s="23">
        <f>ROUND(+I32+I23,2)</f>
        <v>25865.96</v>
      </c>
      <c r="J35" s="23">
        <f>ROUND(+J32+J23,2)</f>
        <v>24508.49</v>
      </c>
    </row>
    <row r="36" spans="1:10" ht="18" customHeight="1"/>
    <row r="37" spans="1:10" ht="18" customHeight="1" thickBot="1">
      <c r="A37" s="11" t="s">
        <v>49</v>
      </c>
    </row>
    <row r="38" spans="1:10">
      <c r="A38" s="116" t="s">
        <v>50</v>
      </c>
      <c r="B38" s="116"/>
      <c r="C38" s="116"/>
      <c r="D38" s="78"/>
      <c r="F38" s="65">
        <f>+F35*0.24</f>
        <v>3819.8219799999993</v>
      </c>
      <c r="G38" s="65">
        <f>+G35*24%</f>
        <v>3915.8086199999993</v>
      </c>
      <c r="H38" s="66"/>
      <c r="I38" s="106" t="str">
        <f>IF(D38="","-",IF(D38&lt;20%,"ERROR",IF(D38&gt;24%,"ERROR",ROUND(I35*D38,2))))</f>
        <v>-</v>
      </c>
      <c r="J38" s="106" t="str">
        <f>IF(D38="","-",IF(D38&lt;20%,"ERROR",IF(D38&gt;24%,"ERROR",ROUND(J35*D38,2))))</f>
        <v>-</v>
      </c>
    </row>
    <row r="39" spans="1:10" ht="18" customHeight="1">
      <c r="F39" s="11"/>
      <c r="G39" s="11"/>
      <c r="H39" s="8"/>
      <c r="I39" s="11"/>
      <c r="J39" s="11"/>
    </row>
    <row r="40" spans="1:10" ht="18" customHeight="1">
      <c r="A40" s="11" t="s">
        <v>51</v>
      </c>
      <c r="F40" s="65">
        <f>+F38*0.12</f>
        <v>458.37863759999988</v>
      </c>
      <c r="G40" s="65">
        <f>+G38*0.12</f>
        <v>469.89703439999988</v>
      </c>
      <c r="H40" s="66"/>
      <c r="I40" s="65" t="e">
        <f>ROUND(+I38*0.12,2)</f>
        <v>#VALUE!</v>
      </c>
      <c r="J40" s="65" t="e">
        <f>ROUND(+J38*0.12,2)</f>
        <v>#VALUE!</v>
      </c>
    </row>
    <row r="41" spans="1:10" ht="18" customHeight="1"/>
    <row r="42" spans="1:10" ht="18" customHeight="1" thickBot="1">
      <c r="A42" s="11" t="s">
        <v>52</v>
      </c>
      <c r="E42" s="2" t="s">
        <v>34</v>
      </c>
      <c r="F42" s="67">
        <f>+F35+F38+F40</f>
        <v>20194.125534266663</v>
      </c>
      <c r="G42" s="67">
        <f>+G35+G38+G40</f>
        <v>20701.574904399997</v>
      </c>
      <c r="H42" s="2" t="s">
        <v>34</v>
      </c>
      <c r="I42" s="27" t="e">
        <f>ROUND(I35+I38+I40,2)</f>
        <v>#VALUE!</v>
      </c>
      <c r="J42" s="27" t="e">
        <f>ROUND(J35+J38+J40,2)</f>
        <v>#VALUE!</v>
      </c>
    </row>
    <row r="43" spans="1:10" ht="18" hidden="1" customHeight="1" thickTop="1"/>
    <row r="44" spans="1:10" ht="18" hidden="1" customHeight="1"/>
    <row r="45" spans="1:10" hidden="1">
      <c r="F45" s="58"/>
      <c r="G45" s="58"/>
      <c r="H45" s="59"/>
    </row>
    <row r="46" spans="1:10" hidden="1">
      <c r="B46" s="1" t="s">
        <v>54</v>
      </c>
      <c r="F46" s="14"/>
      <c r="G46" s="14"/>
      <c r="H46" s="19"/>
      <c r="I46" s="1" t="s">
        <v>55</v>
      </c>
    </row>
    <row r="47" spans="1:10" hidden="1"/>
    <row r="48" spans="1:10" hidden="1">
      <c r="B48" s="1" t="s">
        <v>56</v>
      </c>
      <c r="C48" s="19">
        <f>F15/8</f>
        <v>57.5</v>
      </c>
      <c r="D48" s="19"/>
      <c r="I48" s="1" t="s">
        <v>56</v>
      </c>
      <c r="J48" s="19">
        <f>I15/8</f>
        <v>62.5</v>
      </c>
    </row>
    <row r="49" spans="1:10" hidden="1">
      <c r="A49" s="2">
        <v>295</v>
      </c>
      <c r="B49" s="1" t="s">
        <v>57</v>
      </c>
      <c r="F49" s="58">
        <f>ROUND((C48*1.25*A49*4),2)</f>
        <v>84812.5</v>
      </c>
      <c r="I49" s="1" t="s">
        <v>58</v>
      </c>
      <c r="J49" s="68">
        <f>ROUND((J48*1.375*A49*4),2)</f>
        <v>101406.25</v>
      </c>
    </row>
    <row r="50" spans="1:10" hidden="1">
      <c r="A50" s="2">
        <v>12</v>
      </c>
      <c r="B50" s="1" t="s">
        <v>59</v>
      </c>
      <c r="F50" s="58">
        <f>ROUND((C48*2.6*A50*4),2)</f>
        <v>7176</v>
      </c>
      <c r="I50" s="1" t="s">
        <v>60</v>
      </c>
      <c r="J50" s="68">
        <f>ROUND((J48*2.86*A50*4),2)</f>
        <v>8580</v>
      </c>
    </row>
    <row r="51" spans="1:10" hidden="1">
      <c r="A51" s="2">
        <v>6</v>
      </c>
      <c r="B51" s="1" t="s">
        <v>61</v>
      </c>
      <c r="F51" s="58">
        <f>ROUND((C48*1.69*A51*4),2)</f>
        <v>2332.1999999999998</v>
      </c>
      <c r="I51" s="1" t="s">
        <v>62</v>
      </c>
      <c r="J51" s="62">
        <f>ROUND((J48*1.859*A51*4),2)</f>
        <v>2788.5</v>
      </c>
    </row>
    <row r="52" spans="1:10" hidden="1">
      <c r="F52" s="29">
        <f>SUM(F49:F51)</f>
        <v>94320.7</v>
      </c>
      <c r="J52" s="68">
        <f>SUM(J49:J51)</f>
        <v>112774.75</v>
      </c>
    </row>
    <row r="53" spans="1:10" hidden="1">
      <c r="B53" s="1" t="s">
        <v>63</v>
      </c>
      <c r="F53" s="30">
        <v>12</v>
      </c>
      <c r="I53" s="1" t="s">
        <v>64</v>
      </c>
      <c r="J53" s="30">
        <v>12</v>
      </c>
    </row>
    <row r="54" spans="1:10" ht="16.5" hidden="1" thickBot="1">
      <c r="B54" s="1" t="s">
        <v>65</v>
      </c>
      <c r="F54" s="67">
        <f>F52/F53</f>
        <v>7860.0583333333334</v>
      </c>
      <c r="I54" s="1" t="s">
        <v>66</v>
      </c>
      <c r="J54" s="31">
        <f>J52/J53</f>
        <v>9397.8958333333339</v>
      </c>
    </row>
    <row r="55" spans="1:10" ht="16.5" hidden="1" thickTop="1">
      <c r="F55" s="14"/>
    </row>
    <row r="56" spans="1:10" hidden="1">
      <c r="B56" s="11" t="s">
        <v>67</v>
      </c>
      <c r="F56" s="14"/>
      <c r="I56" s="11"/>
    </row>
    <row r="57" spans="1:10" ht="15" hidden="1" customHeight="1">
      <c r="B57" s="1" t="s">
        <v>68</v>
      </c>
    </row>
    <row r="58" spans="1:10" hidden="1">
      <c r="B58" s="1" t="s">
        <v>69</v>
      </c>
    </row>
    <row r="59" spans="1:10" hidden="1"/>
    <row r="60" spans="1:10" ht="16.5" hidden="1" thickBot="1">
      <c r="B60" s="1" t="s">
        <v>70</v>
      </c>
      <c r="F60" s="69">
        <f>F23-F19</f>
        <v>12289.996666666666</v>
      </c>
      <c r="G60" s="69">
        <f t="shared" ref="G60:H60" si="0">G23-G19</f>
        <v>12689.940999999999</v>
      </c>
      <c r="H60" s="70">
        <f t="shared" si="0"/>
        <v>0</v>
      </c>
      <c r="I60" s="69">
        <f>I23-I19</f>
        <v>21210.059999999998</v>
      </c>
      <c r="J60" s="69">
        <f>J23-J19</f>
        <v>20150.059999999998</v>
      </c>
    </row>
    <row r="61" spans="1:10" ht="16.5" hidden="1" thickTop="1"/>
    <row r="62" spans="1:10" hidden="1"/>
    <row r="63" spans="1:10" hidden="1">
      <c r="A63" s="11" t="s">
        <v>80</v>
      </c>
    </row>
    <row r="64" spans="1:10" ht="16.5" thickTop="1"/>
    <row r="65" spans="1:14">
      <c r="A65" s="1" t="s">
        <v>71</v>
      </c>
      <c r="I65" s="71">
        <v>4</v>
      </c>
      <c r="J65" s="71">
        <v>1</v>
      </c>
    </row>
    <row r="66" spans="1:14">
      <c r="I66" s="72"/>
      <c r="J66" s="72"/>
    </row>
    <row r="67" spans="1:14">
      <c r="A67" s="1" t="s">
        <v>72</v>
      </c>
      <c r="I67" s="72" t="e">
        <f>ROUND(I65*I42,2)</f>
        <v>#VALUE!</v>
      </c>
      <c r="J67" s="72" t="e">
        <f>ROUND(J65*J42,2)</f>
        <v>#VALUE!</v>
      </c>
    </row>
    <row r="69" spans="1:14" ht="16.5" thickBot="1">
      <c r="A69" s="1" t="s">
        <v>85</v>
      </c>
      <c r="F69" s="73"/>
      <c r="G69" s="73"/>
      <c r="H69" s="74"/>
      <c r="I69" s="75" t="e">
        <f>ROUND(I67*12,2)</f>
        <v>#VALUE!</v>
      </c>
      <c r="J69" s="75" t="e">
        <f>ROUND(J67*12,2)</f>
        <v>#VALUE!</v>
      </c>
      <c r="N69" s="14"/>
    </row>
    <row r="70" spans="1:14" ht="16.5" thickTop="1"/>
    <row r="71" spans="1:14" ht="19.5" thickBot="1">
      <c r="J71" s="77" t="e">
        <f>SUM(I69:J69)</f>
        <v>#VALUE!</v>
      </c>
    </row>
    <row r="72" spans="1:14" ht="16.5" thickTop="1"/>
  </sheetData>
  <sheetProtection algorithmName="SHA-512" hashValue="C/LBpTyS32YW81nNqeYCQ3WIM67XZXSt/lfQ6y+W2xLh5YvZPpv0PpHX3eOd6kDho1Qd1oRhf14Q70C/BlEilA==" saltValue="pYeOfKZ3lL50U0QwCKM+YQ==" spinCount="100000" sheet="1" objects="1" scenarios="1"/>
  <mergeCells count="6">
    <mergeCell ref="A38:C38"/>
    <mergeCell ref="A2:J2"/>
    <mergeCell ref="A3:J3"/>
    <mergeCell ref="A4:J4"/>
    <mergeCell ref="F8:G8"/>
    <mergeCell ref="I8:J8"/>
  </mergeCells>
  <conditionalFormatting sqref="D38">
    <cfRule type="containsBlanks" dxfId="3" priority="1">
      <formula>LEN(TRIM(D38))=0</formula>
    </cfRule>
  </conditionalFormatting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05FCC-11A9-4FCA-9AA7-1C18D7157612}">
  <sheetPr>
    <pageSetUpPr fitToPage="1"/>
  </sheetPr>
  <dimension ref="A1:P71"/>
  <sheetViews>
    <sheetView topLeftCell="A33" zoomScale="106" zoomScaleNormal="106" workbookViewId="0">
      <selection activeCell="D38" sqref="D38"/>
    </sheetView>
  </sheetViews>
  <sheetFormatPr defaultColWidth="9.140625" defaultRowHeight="15.75"/>
  <cols>
    <col min="1" max="1" width="4.5703125" style="1" customWidth="1"/>
    <col min="2" max="2" width="27.140625" style="1" customWidth="1"/>
    <col min="3" max="3" width="34" style="1" customWidth="1"/>
    <col min="4" max="4" width="8.140625" style="1" customWidth="1"/>
    <col min="5" max="5" width="3.42578125" style="2" customWidth="1"/>
    <col min="6" max="6" width="18.140625" style="1" customWidth="1"/>
    <col min="7" max="7" width="18" style="1" customWidth="1"/>
    <col min="8" max="8" width="2.5703125" style="2" hidden="1" customWidth="1"/>
    <col min="9" max="9" width="20.42578125" style="1" hidden="1" customWidth="1"/>
    <col min="10" max="10" width="18.42578125" style="1" hidden="1" customWidth="1"/>
    <col min="11" max="11" width="18" style="1" customWidth="1"/>
    <col min="12" max="13" width="9.140625" style="1"/>
    <col min="14" max="14" width="13.140625" style="1" bestFit="1" customWidth="1"/>
    <col min="15" max="15" width="11.5703125" style="1" customWidth="1"/>
    <col min="16" max="16" width="12" style="1" customWidth="1"/>
    <col min="17" max="16384" width="9.140625" style="1"/>
  </cols>
  <sheetData>
    <row r="1" spans="1:11">
      <c r="A1" s="3"/>
      <c r="B1" s="3"/>
      <c r="C1" s="3"/>
      <c r="D1" s="3"/>
      <c r="E1" s="5"/>
      <c r="F1" s="3"/>
      <c r="G1" s="3"/>
      <c r="H1" s="5"/>
      <c r="I1" s="3"/>
      <c r="J1" s="3"/>
      <c r="K1" s="3"/>
    </row>
    <row r="2" spans="1:11">
      <c r="A2" s="117" t="s">
        <v>86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</row>
    <row r="3" spans="1:11">
      <c r="A3" s="118" t="s">
        <v>87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</row>
    <row r="4" spans="1:11">
      <c r="A4" s="118" t="s">
        <v>88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</row>
    <row r="5" spans="1:11">
      <c r="I5" s="1" t="s">
        <v>78</v>
      </c>
    </row>
    <row r="7" spans="1:11">
      <c r="I7" s="1" t="s">
        <v>78</v>
      </c>
    </row>
    <row r="8" spans="1:11" ht="18" customHeight="1">
      <c r="F8" s="117" t="s">
        <v>89</v>
      </c>
      <c r="G8" s="117"/>
      <c r="H8" s="117"/>
      <c r="I8" s="117"/>
      <c r="J8" s="117"/>
      <c r="K8" s="117"/>
    </row>
    <row r="9" spans="1:11" ht="18" customHeight="1">
      <c r="A9" s="1" t="s">
        <v>24</v>
      </c>
      <c r="F9" s="2" t="s">
        <v>25</v>
      </c>
      <c r="G9" s="2" t="s">
        <v>25</v>
      </c>
      <c r="I9" s="2" t="s">
        <v>25</v>
      </c>
      <c r="J9" s="2" t="s">
        <v>25</v>
      </c>
      <c r="K9" s="2" t="s">
        <v>25</v>
      </c>
    </row>
    <row r="10" spans="1:11" ht="18" customHeight="1">
      <c r="A10" s="1" t="s">
        <v>26</v>
      </c>
      <c r="F10" s="2">
        <v>313</v>
      </c>
      <c r="G10" s="2">
        <v>313</v>
      </c>
      <c r="I10" s="2">
        <v>313</v>
      </c>
      <c r="J10" s="2">
        <v>313</v>
      </c>
      <c r="K10" s="2">
        <v>313</v>
      </c>
    </row>
    <row r="11" spans="1:11" ht="18" customHeight="1">
      <c r="F11" s="2" t="s">
        <v>27</v>
      </c>
      <c r="G11" s="2" t="s">
        <v>27</v>
      </c>
      <c r="I11" s="2" t="s">
        <v>28</v>
      </c>
      <c r="J11" s="2" t="s">
        <v>28</v>
      </c>
      <c r="K11" s="2" t="s">
        <v>27</v>
      </c>
    </row>
    <row r="12" spans="1:11" ht="18" customHeight="1">
      <c r="F12" s="2" t="s">
        <v>29</v>
      </c>
      <c r="G12" s="2" t="s">
        <v>30</v>
      </c>
      <c r="I12" s="2" t="s">
        <v>29</v>
      </c>
      <c r="J12" s="2" t="s">
        <v>30</v>
      </c>
      <c r="K12" s="2" t="s">
        <v>31</v>
      </c>
    </row>
    <row r="13" spans="1:11" ht="18" customHeight="1"/>
    <row r="14" spans="1:11" ht="18" customHeight="1">
      <c r="A14" s="11" t="s">
        <v>32</v>
      </c>
    </row>
    <row r="15" spans="1:11" s="39" customFormat="1" ht="18" customHeight="1">
      <c r="A15" s="39" t="s">
        <v>33</v>
      </c>
      <c r="E15" s="83" t="s">
        <v>34</v>
      </c>
      <c r="F15" s="63">
        <v>479</v>
      </c>
      <c r="G15" s="63">
        <v>479</v>
      </c>
      <c r="H15" s="83" t="s">
        <v>34</v>
      </c>
      <c r="I15" s="63">
        <v>479</v>
      </c>
      <c r="J15" s="63">
        <v>479</v>
      </c>
      <c r="K15" s="63">
        <v>479</v>
      </c>
    </row>
    <row r="16" spans="1:11" ht="18" customHeight="1"/>
    <row r="17" spans="1:16">
      <c r="A17" s="1" t="s">
        <v>35</v>
      </c>
      <c r="F17" s="58">
        <f>ROUND((F15*F10/12),2)</f>
        <v>12493.92</v>
      </c>
      <c r="G17" s="58">
        <f>ROUND((G15*G10/12),2)</f>
        <v>12493.92</v>
      </c>
      <c r="H17" s="59"/>
      <c r="I17" s="58">
        <f>ROUND((I15*I10/12),2)</f>
        <v>12493.92</v>
      </c>
      <c r="J17" s="58">
        <f>ROUND((J15*J10/12),2)</f>
        <v>12493.92</v>
      </c>
      <c r="K17" s="58">
        <f>ROUND((K15*K10/12),2)</f>
        <v>12493.92</v>
      </c>
    </row>
    <row r="18" spans="1:16" ht="19.5" customHeight="1">
      <c r="A18" s="1" t="s">
        <v>36</v>
      </c>
      <c r="F18" s="58">
        <v>0</v>
      </c>
      <c r="G18" s="58">
        <f>ROUND(G17*10%*1/3,2)</f>
        <v>416.46</v>
      </c>
      <c r="H18" s="59"/>
      <c r="I18" s="58">
        <v>0</v>
      </c>
      <c r="J18" s="58">
        <f>+J17*10%*1/2</f>
        <v>624.69600000000003</v>
      </c>
      <c r="K18" s="58">
        <f>ROUND(K17*10%*1/3,2)</f>
        <v>416.46</v>
      </c>
    </row>
    <row r="19" spans="1:16" ht="18" customHeight="1">
      <c r="A19" s="1" t="s">
        <v>37</v>
      </c>
      <c r="F19" s="58">
        <f>ROUND((F15*365/12/12),2)</f>
        <v>1214.1300000000001</v>
      </c>
      <c r="G19" s="58">
        <f>ROUND((G15*365/12/12),2)</f>
        <v>1214.1300000000001</v>
      </c>
      <c r="H19" s="59"/>
      <c r="I19" s="58">
        <f>ROUND((I15*365/12/12),2)</f>
        <v>1214.1300000000001</v>
      </c>
      <c r="J19" s="58">
        <f>ROUND((J15*365/12/12),2)</f>
        <v>1214.1300000000001</v>
      </c>
      <c r="K19" s="58">
        <f>ROUND((K15*365/12/12),2)</f>
        <v>1214.1300000000001</v>
      </c>
    </row>
    <row r="20" spans="1:16" ht="18" customHeight="1">
      <c r="A20" s="1" t="s">
        <v>38</v>
      </c>
      <c r="F20" s="58">
        <f>ROUND(+F15*(5/12),2)</f>
        <v>199.58</v>
      </c>
      <c r="G20" s="58">
        <f>ROUND(+G15*(5/12),2)</f>
        <v>199.58</v>
      </c>
      <c r="H20" s="59"/>
      <c r="I20" s="14">
        <f>I15*(5/12)</f>
        <v>199.58333333333334</v>
      </c>
      <c r="J20" s="14">
        <f>J15*(5/12)</f>
        <v>199.58333333333334</v>
      </c>
      <c r="K20" s="58">
        <f>ROUND(+K15*(5/12),2)</f>
        <v>199.58</v>
      </c>
    </row>
    <row r="21" spans="1:16" ht="18" customHeight="1">
      <c r="A21" s="1" t="s">
        <v>39</v>
      </c>
      <c r="F21" s="58">
        <v>100</v>
      </c>
      <c r="G21" s="58">
        <v>100</v>
      </c>
      <c r="H21" s="59"/>
      <c r="I21" s="15">
        <v>100</v>
      </c>
      <c r="J21" s="58">
        <v>100</v>
      </c>
      <c r="K21" s="58">
        <v>100</v>
      </c>
    </row>
    <row r="22" spans="1:16" ht="21" customHeight="1">
      <c r="A22" s="1" t="s">
        <v>40</v>
      </c>
      <c r="F22" s="60">
        <v>0</v>
      </c>
      <c r="G22" s="60">
        <f>0*377/12</f>
        <v>0</v>
      </c>
      <c r="H22" s="61"/>
      <c r="I22" s="62">
        <f>+F54</f>
        <v>8184.7133333333331</v>
      </c>
      <c r="J22" s="62">
        <f>+J54</f>
        <v>9003.1841666666678</v>
      </c>
      <c r="K22" s="60">
        <f>0*377/12</f>
        <v>0</v>
      </c>
    </row>
    <row r="23" spans="1:16" ht="18" customHeight="1">
      <c r="F23" s="14">
        <f>ROUND(SUM(F17:F22),2)</f>
        <v>14007.63</v>
      </c>
      <c r="G23" s="14">
        <f>ROUND(SUM(G17:G22),2)</f>
        <v>14424.09</v>
      </c>
      <c r="H23" s="19"/>
      <c r="I23" s="14">
        <f>SUM(I17:I22)</f>
        <v>22192.346666666665</v>
      </c>
      <c r="J23" s="14">
        <f>SUM(J17:J22)</f>
        <v>23635.513500000001</v>
      </c>
      <c r="K23" s="14">
        <f>ROUND(SUM(K17:K22),2)</f>
        <v>14424.09</v>
      </c>
      <c r="N23" s="7"/>
      <c r="O23" s="7"/>
      <c r="P23" s="7"/>
    </row>
    <row r="24" spans="1:16" ht="18" customHeight="1">
      <c r="F24" s="14"/>
      <c r="I24" s="14"/>
      <c r="J24" s="14"/>
    </row>
    <row r="25" spans="1:16" ht="18" customHeight="1">
      <c r="A25" s="11" t="s">
        <v>41</v>
      </c>
      <c r="F25" s="14"/>
      <c r="G25" s="14"/>
      <c r="H25" s="14">
        <f t="shared" ref="H25" si="0">H23-H19</f>
        <v>0</v>
      </c>
      <c r="I25" s="14"/>
      <c r="J25" s="14"/>
      <c r="K25" s="14"/>
    </row>
    <row r="26" spans="1:16" ht="18" customHeight="1">
      <c r="A26" s="1" t="s">
        <v>90</v>
      </c>
      <c r="E26" s="2" t="s">
        <v>34</v>
      </c>
      <c r="F26" s="63">
        <f>ROUND(+F15*22.5/12,2)</f>
        <v>898.13</v>
      </c>
      <c r="G26" s="63">
        <f>ROUND(+G15*22.5/12,2)</f>
        <v>898.13</v>
      </c>
      <c r="H26" s="2" t="s">
        <v>34</v>
      </c>
      <c r="I26" s="58">
        <f>+I15*22.5/12</f>
        <v>898.125</v>
      </c>
      <c r="J26" s="58">
        <f>+J15*22.5/12</f>
        <v>898.125</v>
      </c>
      <c r="K26" s="63">
        <f>ROUND(+K15*22.5/12,2)</f>
        <v>898.13</v>
      </c>
    </row>
    <row r="27" spans="1:16" ht="18" customHeight="1">
      <c r="A27" s="1" t="s">
        <v>43</v>
      </c>
      <c r="F27" s="63">
        <v>1235</v>
      </c>
      <c r="G27" s="63">
        <v>1235</v>
      </c>
      <c r="H27" s="59"/>
      <c r="I27" s="63">
        <v>1900</v>
      </c>
      <c r="J27" s="63">
        <v>1900</v>
      </c>
      <c r="K27" s="63">
        <v>1235</v>
      </c>
    </row>
    <row r="28" spans="1:16" ht="18" customHeight="1">
      <c r="A28" s="1" t="s">
        <v>44</v>
      </c>
      <c r="F28" s="63">
        <v>0</v>
      </c>
      <c r="G28" s="63">
        <v>0</v>
      </c>
      <c r="H28" s="59"/>
      <c r="I28" s="63">
        <v>95</v>
      </c>
      <c r="J28" s="63">
        <v>237.5</v>
      </c>
      <c r="K28" s="63">
        <v>0</v>
      </c>
    </row>
    <row r="29" spans="1:16" ht="18" customHeight="1">
      <c r="A29" s="1" t="s">
        <v>91</v>
      </c>
      <c r="F29" s="63">
        <f>ROUND((F17*0.05)/2,2)</f>
        <v>312.35000000000002</v>
      </c>
      <c r="G29" s="63">
        <f t="shared" ref="G29:K29" si="1">ROUND((G17*0.05)/2,2)</f>
        <v>312.35000000000002</v>
      </c>
      <c r="H29" s="63">
        <f t="shared" si="1"/>
        <v>0</v>
      </c>
      <c r="I29" s="63">
        <f t="shared" si="1"/>
        <v>312.35000000000002</v>
      </c>
      <c r="J29" s="63">
        <f t="shared" si="1"/>
        <v>312.35000000000002</v>
      </c>
      <c r="K29" s="63">
        <f t="shared" si="1"/>
        <v>312.35000000000002</v>
      </c>
    </row>
    <row r="30" spans="1:16" ht="18" customHeight="1">
      <c r="A30" s="1" t="s">
        <v>46</v>
      </c>
      <c r="F30" s="63">
        <v>10</v>
      </c>
      <c r="G30" s="63">
        <v>10</v>
      </c>
      <c r="H30" s="59"/>
      <c r="I30" s="58">
        <v>30</v>
      </c>
      <c r="J30" s="58">
        <v>30</v>
      </c>
      <c r="K30" s="63">
        <v>10</v>
      </c>
    </row>
    <row r="31" spans="1:16" ht="18" customHeight="1">
      <c r="A31" s="1" t="s">
        <v>47</v>
      </c>
      <c r="F31" s="64">
        <v>100</v>
      </c>
      <c r="G31" s="64">
        <v>100</v>
      </c>
      <c r="H31" s="61"/>
      <c r="I31" s="60">
        <v>100</v>
      </c>
      <c r="J31" s="60">
        <v>100</v>
      </c>
      <c r="K31" s="64">
        <v>100</v>
      </c>
    </row>
    <row r="32" spans="1:16" ht="18" customHeight="1">
      <c r="F32" s="22">
        <f>ROUND(SUM(F26:F31),2)</f>
        <v>2555.48</v>
      </c>
      <c r="G32" s="22">
        <f>ROUND(SUM(G26:G31),2)</f>
        <v>2555.48</v>
      </c>
      <c r="H32" s="19"/>
      <c r="I32" s="14">
        <f>SUM(I26:I31)</f>
        <v>3335.4749999999999</v>
      </c>
      <c r="J32" s="14">
        <f>SUM(J26:J31)</f>
        <v>3477.9749999999999</v>
      </c>
      <c r="K32" s="22">
        <f>ROUND(SUM(K26:K31),2)</f>
        <v>2555.48</v>
      </c>
    </row>
    <row r="33" spans="1:11" ht="18" customHeight="1"/>
    <row r="34" spans="1:11" ht="18" customHeight="1">
      <c r="F34" s="11"/>
      <c r="G34" s="11"/>
      <c r="H34" s="8"/>
      <c r="K34" s="11"/>
    </row>
    <row r="35" spans="1:11" ht="18" customHeight="1">
      <c r="A35" s="11" t="s">
        <v>48</v>
      </c>
      <c r="E35" s="2" t="s">
        <v>34</v>
      </c>
      <c r="F35" s="23">
        <f>ROUND(+F23+F32,2)</f>
        <v>16563.11</v>
      </c>
      <c r="G35" s="23">
        <f>ROUND(+G23+G32,2)</f>
        <v>16979.57</v>
      </c>
      <c r="H35" s="2" t="s">
        <v>34</v>
      </c>
      <c r="I35" s="23">
        <f>+I32+I23</f>
        <v>25527.821666666663</v>
      </c>
      <c r="J35" s="23">
        <f>+J32+J23</f>
        <v>27113.488499999999</v>
      </c>
      <c r="K35" s="23">
        <f>ROUND(+K23+K32,2)</f>
        <v>16979.57</v>
      </c>
    </row>
    <row r="36" spans="1:11" ht="18" customHeight="1"/>
    <row r="37" spans="1:11" ht="18" customHeight="1" thickBot="1">
      <c r="A37" s="11" t="s">
        <v>49</v>
      </c>
    </row>
    <row r="38" spans="1:11">
      <c r="A38" s="116" t="s">
        <v>50</v>
      </c>
      <c r="B38" s="116"/>
      <c r="C38" s="116"/>
      <c r="D38" s="78"/>
      <c r="F38" s="66" t="str">
        <f>IF(D38="","-",IF(D38&lt;20%,"ERROR",IF(D38&gt;24%,"ERROR",ROUND(+F35*D38,2))))</f>
        <v>-</v>
      </c>
      <c r="G38" s="66" t="str">
        <f>IF(D38="","-",IF(D38&lt;20%,"ERROR",IF(D38&gt;24%,"ERROR",ROUND(+G35*D38,2))))</f>
        <v>-</v>
      </c>
      <c r="H38" s="66"/>
      <c r="I38" s="106">
        <f>I35*0.24</f>
        <v>6126.6771999999992</v>
      </c>
      <c r="J38" s="106">
        <f>J35*0.24</f>
        <v>6507.2372399999995</v>
      </c>
      <c r="K38" s="66" t="str">
        <f>IF(D38="","-",IF(D38&lt;20%,"ERROR",IF(D38&gt;24%,"ERROR",ROUND(+K35*D38,2))))</f>
        <v>-</v>
      </c>
    </row>
    <row r="39" spans="1:11" ht="18" customHeight="1">
      <c r="F39" s="11"/>
      <c r="G39" s="11"/>
      <c r="H39" s="8"/>
      <c r="I39" s="11"/>
      <c r="J39" s="11"/>
      <c r="K39" s="11"/>
    </row>
    <row r="40" spans="1:11" ht="18" customHeight="1">
      <c r="A40" s="11" t="s">
        <v>51</v>
      </c>
      <c r="F40" s="65" t="e">
        <f>ROUND(+F38*0.12,2)</f>
        <v>#VALUE!</v>
      </c>
      <c r="G40" s="65" t="e">
        <f>ROUND(+G38*0.12,2)</f>
        <v>#VALUE!</v>
      </c>
      <c r="H40" s="66"/>
      <c r="I40" s="65">
        <f>+I38*0.12</f>
        <v>735.20126399999992</v>
      </c>
      <c r="J40" s="65">
        <f>+J38*0.12</f>
        <v>780.86846879999996</v>
      </c>
      <c r="K40" s="65" t="e">
        <f>ROUND(+K38*0.12,2)</f>
        <v>#VALUE!</v>
      </c>
    </row>
    <row r="41" spans="1:11" ht="18" customHeight="1"/>
    <row r="42" spans="1:11" ht="18" customHeight="1" thickBot="1">
      <c r="A42" s="11" t="s">
        <v>52</v>
      </c>
      <c r="E42" s="2" t="s">
        <v>34</v>
      </c>
      <c r="F42" s="67" t="e">
        <f>ROUND(+F35+F38+F40,2)</f>
        <v>#VALUE!</v>
      </c>
      <c r="G42" s="67" t="e">
        <f>ROUND(+G35+G38+G40,2)</f>
        <v>#VALUE!</v>
      </c>
      <c r="H42" s="2" t="s">
        <v>34</v>
      </c>
      <c r="I42" s="27">
        <f>I35+I38+I40</f>
        <v>32389.700130666661</v>
      </c>
      <c r="J42" s="27">
        <f>J35+J38+J40</f>
        <v>34401.594208800001</v>
      </c>
      <c r="K42" s="67" t="e">
        <f>ROUND(+K35+K38+K40,2)</f>
        <v>#VALUE!</v>
      </c>
    </row>
    <row r="43" spans="1:11" ht="18" customHeight="1" thickTop="1"/>
    <row r="44" spans="1:11" ht="18" hidden="1" customHeight="1"/>
    <row r="45" spans="1:11" hidden="1">
      <c r="F45" s="58"/>
      <c r="G45" s="58"/>
      <c r="H45" s="59"/>
      <c r="K45" s="58"/>
    </row>
    <row r="46" spans="1:11" hidden="1">
      <c r="B46" s="1" t="s">
        <v>54</v>
      </c>
      <c r="F46" s="14"/>
      <c r="G46" s="14"/>
      <c r="H46" s="19"/>
      <c r="I46" s="1" t="s">
        <v>55</v>
      </c>
      <c r="K46" s="14"/>
    </row>
    <row r="47" spans="1:11" hidden="1"/>
    <row r="48" spans="1:11" hidden="1">
      <c r="B48" s="1" t="s">
        <v>56</v>
      </c>
      <c r="C48" s="19">
        <f>F15/8</f>
        <v>59.875</v>
      </c>
      <c r="D48" s="19"/>
      <c r="I48" s="1" t="s">
        <v>56</v>
      </c>
      <c r="J48" s="19">
        <f>I15/8</f>
        <v>59.875</v>
      </c>
    </row>
    <row r="49" spans="1:11" hidden="1">
      <c r="A49" s="2">
        <v>295</v>
      </c>
      <c r="B49" s="1" t="s">
        <v>57</v>
      </c>
      <c r="F49" s="58">
        <f>ROUND((C48*1.25*A49*4),2)</f>
        <v>88315.63</v>
      </c>
      <c r="I49" s="1" t="s">
        <v>58</v>
      </c>
      <c r="J49" s="68">
        <f>ROUND((J48*1.375*A49*4),2)</f>
        <v>97147.19</v>
      </c>
    </row>
    <row r="50" spans="1:11" hidden="1">
      <c r="A50" s="2">
        <v>12</v>
      </c>
      <c r="B50" s="1" t="s">
        <v>59</v>
      </c>
      <c r="F50" s="58">
        <f>ROUND((C48*2.6*A50*4),2)</f>
        <v>7472.4</v>
      </c>
      <c r="I50" s="1" t="s">
        <v>60</v>
      </c>
      <c r="J50" s="68">
        <f>ROUND((J48*2.86*A50*4),2)</f>
        <v>8219.64</v>
      </c>
    </row>
    <row r="51" spans="1:11" hidden="1">
      <c r="A51" s="2">
        <v>6</v>
      </c>
      <c r="B51" s="1" t="s">
        <v>61</v>
      </c>
      <c r="F51" s="58">
        <f>ROUND((C48*1.69*A51*4),2)</f>
        <v>2428.5300000000002</v>
      </c>
      <c r="I51" s="1" t="s">
        <v>62</v>
      </c>
      <c r="J51" s="62">
        <f>ROUND((J48*1.859*A51*4),2)</f>
        <v>2671.38</v>
      </c>
    </row>
    <row r="52" spans="1:11" hidden="1">
      <c r="F52" s="29">
        <f>SUM(F49:F51)</f>
        <v>98216.56</v>
      </c>
      <c r="J52" s="68">
        <f>SUM(J49:J51)</f>
        <v>108038.21</v>
      </c>
    </row>
    <row r="53" spans="1:11" hidden="1">
      <c r="B53" s="1" t="s">
        <v>63</v>
      </c>
      <c r="F53" s="30">
        <v>12</v>
      </c>
      <c r="I53" s="1" t="s">
        <v>64</v>
      </c>
      <c r="J53" s="30">
        <v>12</v>
      </c>
    </row>
    <row r="54" spans="1:11" ht="16.5" hidden="1" thickBot="1">
      <c r="B54" s="1" t="s">
        <v>65</v>
      </c>
      <c r="F54" s="67">
        <f>F52/F53</f>
        <v>8184.7133333333331</v>
      </c>
      <c r="I54" s="1" t="s">
        <v>66</v>
      </c>
      <c r="J54" s="31">
        <f>J52/J53</f>
        <v>9003.1841666666678</v>
      </c>
    </row>
    <row r="55" spans="1:11" ht="16.5" hidden="1" thickTop="1">
      <c r="F55" s="14"/>
    </row>
    <row r="56" spans="1:11" hidden="1">
      <c r="B56" s="11" t="s">
        <v>67</v>
      </c>
      <c r="F56" s="14"/>
      <c r="I56" s="11"/>
    </row>
    <row r="57" spans="1:11" ht="15" hidden="1" customHeight="1">
      <c r="B57" s="1" t="s">
        <v>68</v>
      </c>
    </row>
    <row r="58" spans="1:11" hidden="1">
      <c r="B58" s="1" t="s">
        <v>69</v>
      </c>
    </row>
    <row r="59" spans="1:11" hidden="1"/>
    <row r="60" spans="1:11" ht="16.5" hidden="1" thickBot="1">
      <c r="B60" s="1" t="s">
        <v>70</v>
      </c>
      <c r="F60" s="69">
        <f>F23-F19</f>
        <v>12793.5</v>
      </c>
      <c r="G60" s="69">
        <f>G23-G19</f>
        <v>13209.96</v>
      </c>
      <c r="H60" s="70">
        <f t="shared" ref="H60" si="2">H23-H19</f>
        <v>0</v>
      </c>
      <c r="I60" s="69">
        <f>I23-I19</f>
        <v>20978.216666666664</v>
      </c>
      <c r="J60" s="69">
        <f>J23-J19</f>
        <v>22421.3835</v>
      </c>
      <c r="K60" s="69">
        <f>K23-K19</f>
        <v>13209.96</v>
      </c>
    </row>
    <row r="61" spans="1:11" ht="16.5" hidden="1" thickTop="1"/>
    <row r="62" spans="1:11">
      <c r="A62" s="11" t="s">
        <v>92</v>
      </c>
    </row>
    <row r="64" spans="1:11">
      <c r="A64" s="1" t="s">
        <v>71</v>
      </c>
      <c r="F64" s="71">
        <v>2</v>
      </c>
      <c r="G64" s="71">
        <v>1</v>
      </c>
      <c r="I64" s="71"/>
      <c r="J64" s="71"/>
      <c r="K64" s="71">
        <v>1</v>
      </c>
    </row>
    <row r="65" spans="1:14">
      <c r="F65" s="72"/>
      <c r="G65" s="72"/>
      <c r="I65" s="72"/>
      <c r="J65" s="72"/>
      <c r="K65" s="72"/>
    </row>
    <row r="66" spans="1:14">
      <c r="A66" s="1" t="s">
        <v>72</v>
      </c>
      <c r="F66" s="72" t="e">
        <f>ROUND(F64*F42,2)</f>
        <v>#VALUE!</v>
      </c>
      <c r="G66" s="72" t="e">
        <f>ROUND(G64*G42,2)</f>
        <v>#VALUE!</v>
      </c>
      <c r="I66" s="72">
        <f>I64*I41</f>
        <v>0</v>
      </c>
      <c r="J66" s="72">
        <f>J64*J41</f>
        <v>0</v>
      </c>
      <c r="K66" s="72" t="e">
        <f>ROUND(K64*K42,2)</f>
        <v>#VALUE!</v>
      </c>
    </row>
    <row r="68" spans="1:14" ht="16.5" thickBot="1">
      <c r="A68" s="1" t="s">
        <v>93</v>
      </c>
      <c r="F68" s="75" t="e">
        <f>ROUND(F66*12,2)</f>
        <v>#VALUE!</v>
      </c>
      <c r="G68" s="75" t="e">
        <f>ROUND(G66*12,2)</f>
        <v>#VALUE!</v>
      </c>
      <c r="I68" s="75">
        <f>I66*12</f>
        <v>0</v>
      </c>
      <c r="J68" s="75">
        <f>J66*12</f>
        <v>0</v>
      </c>
      <c r="K68" s="75" t="e">
        <f>ROUND(K66*12,2)</f>
        <v>#VALUE!</v>
      </c>
      <c r="N68" s="7"/>
    </row>
    <row r="69" spans="1:14" ht="16.5" thickTop="1"/>
    <row r="70" spans="1:14" ht="19.5" thickBot="1">
      <c r="K70" s="77" t="e">
        <f>SUM(K68,G68,F68)</f>
        <v>#VALUE!</v>
      </c>
    </row>
    <row r="71" spans="1:14" ht="16.5" thickTop="1"/>
  </sheetData>
  <sheetProtection algorithmName="SHA-512" hashValue="vC+LsEcZy8UnPTAskAsOLjU+6Py9OI3J1HByvibL2hGFKnM6oQruWJlNA2QLjpRxkcSWtV2G7/9y5oHOjMqZWw==" saltValue="cDaczKtQvZTLi//vAOERng==" spinCount="100000" sheet="1" objects="1" scenarios="1"/>
  <mergeCells count="5">
    <mergeCell ref="A2:K2"/>
    <mergeCell ref="A38:C38"/>
    <mergeCell ref="A4:K4"/>
    <mergeCell ref="A3:K3"/>
    <mergeCell ref="F8:K8"/>
  </mergeCells>
  <conditionalFormatting sqref="D38">
    <cfRule type="containsBlanks" dxfId="2" priority="1">
      <formula>LEN(TRIM(D38))=0</formula>
    </cfRule>
  </conditionalFormatting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E45EF-8BA2-4E4A-B2A7-08B240591526}">
  <sheetPr>
    <pageSetUpPr fitToPage="1"/>
  </sheetPr>
  <dimension ref="A1:P71"/>
  <sheetViews>
    <sheetView topLeftCell="A25" zoomScale="96" zoomScaleNormal="96" workbookViewId="0">
      <selection activeCell="D38" sqref="D38"/>
    </sheetView>
  </sheetViews>
  <sheetFormatPr defaultColWidth="9.140625" defaultRowHeight="15.75"/>
  <cols>
    <col min="1" max="1" width="4.5703125" style="1" customWidth="1"/>
    <col min="2" max="2" width="27.140625" style="1" customWidth="1"/>
    <col min="3" max="3" width="32.7109375" style="1" customWidth="1"/>
    <col min="4" max="4" width="8" style="1" customWidth="1"/>
    <col min="5" max="5" width="3.42578125" style="2" customWidth="1"/>
    <col min="6" max="6" width="18.140625" style="1" customWidth="1"/>
    <col min="7" max="7" width="18" style="1" customWidth="1"/>
    <col min="8" max="8" width="2.5703125" style="2" hidden="1" customWidth="1"/>
    <col min="9" max="9" width="20.42578125" style="1" hidden="1" customWidth="1"/>
    <col min="10" max="10" width="18.42578125" style="1" hidden="1" customWidth="1"/>
    <col min="11" max="11" width="18" style="1" customWidth="1"/>
    <col min="12" max="13" width="9.140625" style="1"/>
    <col min="14" max="14" width="13.140625" style="1" bestFit="1" customWidth="1"/>
    <col min="15" max="15" width="11.42578125" style="1" customWidth="1"/>
    <col min="16" max="16" width="11" style="1" customWidth="1"/>
    <col min="17" max="16384" width="9.140625" style="1"/>
  </cols>
  <sheetData>
    <row r="1" spans="1:11">
      <c r="A1" s="3"/>
      <c r="B1" s="3"/>
      <c r="C1" s="3"/>
      <c r="D1" s="3"/>
      <c r="E1" s="5"/>
      <c r="F1" s="3"/>
      <c r="G1" s="3"/>
      <c r="H1" s="5"/>
      <c r="I1" s="3"/>
      <c r="J1" s="3"/>
      <c r="K1" s="3"/>
    </row>
    <row r="2" spans="1:11">
      <c r="A2" s="117" t="s">
        <v>86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</row>
    <row r="3" spans="1:11">
      <c r="A3" s="118" t="s">
        <v>87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</row>
    <row r="4" spans="1:11">
      <c r="A4" s="118" t="s">
        <v>88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</row>
    <row r="5" spans="1:11">
      <c r="I5" s="1" t="s">
        <v>78</v>
      </c>
    </row>
    <row r="7" spans="1:11">
      <c r="I7" s="1" t="s">
        <v>78</v>
      </c>
    </row>
    <row r="8" spans="1:11" ht="18" customHeight="1">
      <c r="F8" s="117" t="s">
        <v>89</v>
      </c>
      <c r="G8" s="117"/>
      <c r="H8" s="117"/>
      <c r="I8" s="117"/>
      <c r="J8" s="117"/>
      <c r="K8" s="117"/>
    </row>
    <row r="9" spans="1:11" ht="18" customHeight="1">
      <c r="A9" s="1" t="s">
        <v>24</v>
      </c>
      <c r="F9" s="2" t="s">
        <v>25</v>
      </c>
      <c r="G9" s="2" t="s">
        <v>25</v>
      </c>
      <c r="I9" s="2" t="s">
        <v>25</v>
      </c>
      <c r="J9" s="2" t="s">
        <v>25</v>
      </c>
      <c r="K9" s="2" t="s">
        <v>25</v>
      </c>
    </row>
    <row r="10" spans="1:11" ht="18" customHeight="1">
      <c r="A10" s="1" t="s">
        <v>26</v>
      </c>
      <c r="F10" s="2">
        <v>313</v>
      </c>
      <c r="G10" s="2">
        <v>313</v>
      </c>
      <c r="I10" s="2">
        <v>313</v>
      </c>
      <c r="J10" s="2">
        <v>313</v>
      </c>
      <c r="K10" s="2">
        <v>313</v>
      </c>
    </row>
    <row r="11" spans="1:11" ht="18" customHeight="1">
      <c r="F11" s="2" t="s">
        <v>27</v>
      </c>
      <c r="G11" s="2" t="s">
        <v>27</v>
      </c>
      <c r="I11" s="2" t="s">
        <v>28</v>
      </c>
      <c r="J11" s="2" t="s">
        <v>28</v>
      </c>
      <c r="K11" s="2" t="s">
        <v>27</v>
      </c>
    </row>
    <row r="12" spans="1:11" ht="18" customHeight="1">
      <c r="F12" s="2" t="s">
        <v>29</v>
      </c>
      <c r="G12" s="2" t="s">
        <v>30</v>
      </c>
      <c r="I12" s="2" t="s">
        <v>29</v>
      </c>
      <c r="J12" s="2" t="s">
        <v>30</v>
      </c>
      <c r="K12" s="2" t="s">
        <v>84</v>
      </c>
    </row>
    <row r="13" spans="1:11" ht="18" customHeight="1"/>
    <row r="14" spans="1:11" ht="18" customHeight="1">
      <c r="A14" s="11" t="s">
        <v>32</v>
      </c>
    </row>
    <row r="15" spans="1:11" s="39" customFormat="1" ht="18" customHeight="1">
      <c r="A15" s="39" t="s">
        <v>33</v>
      </c>
      <c r="E15" s="83" t="s">
        <v>34</v>
      </c>
      <c r="F15" s="63">
        <v>479</v>
      </c>
      <c r="G15" s="63">
        <v>479</v>
      </c>
      <c r="H15" s="83" t="s">
        <v>34</v>
      </c>
      <c r="I15" s="63">
        <v>479</v>
      </c>
      <c r="J15" s="63">
        <v>479</v>
      </c>
      <c r="K15" s="63">
        <v>479</v>
      </c>
    </row>
    <row r="16" spans="1:11" ht="18" customHeight="1"/>
    <row r="17" spans="1:16">
      <c r="A17" s="1" t="s">
        <v>35</v>
      </c>
      <c r="F17" s="58">
        <f>ROUND((F15*F10/12),2)</f>
        <v>12493.92</v>
      </c>
      <c r="G17" s="58">
        <f>ROUND((G15*G10/12),2)</f>
        <v>12493.92</v>
      </c>
      <c r="H17" s="59"/>
      <c r="I17" s="58">
        <f>ROUND((I15*I10/12),2)</f>
        <v>12493.92</v>
      </c>
      <c r="J17" s="58">
        <f>ROUND((J15*J10/12),2)</f>
        <v>12493.92</v>
      </c>
      <c r="K17" s="58">
        <f>ROUND((K15*K10/12),2)</f>
        <v>12493.92</v>
      </c>
    </row>
    <row r="18" spans="1:16" ht="19.5" customHeight="1">
      <c r="A18" s="1" t="s">
        <v>36</v>
      </c>
      <c r="F18" s="58">
        <v>0</v>
      </c>
      <c r="G18" s="58">
        <f>ROUND(G17*10%*1/3,2)</f>
        <v>416.46</v>
      </c>
      <c r="H18" s="59"/>
      <c r="I18" s="58">
        <v>0</v>
      </c>
      <c r="J18" s="58">
        <f>+J17*10%*1/2</f>
        <v>624.69600000000003</v>
      </c>
      <c r="K18" s="58">
        <f>ROUND(K17*10%*1/3,2)</f>
        <v>416.46</v>
      </c>
    </row>
    <row r="19" spans="1:16" ht="18" customHeight="1">
      <c r="A19" s="1" t="s">
        <v>37</v>
      </c>
      <c r="F19" s="58">
        <f>ROUND((F15*365/12/12),2)</f>
        <v>1214.1300000000001</v>
      </c>
      <c r="G19" s="58">
        <f>ROUND((G15*365/12/12),2)</f>
        <v>1214.1300000000001</v>
      </c>
      <c r="H19" s="59"/>
      <c r="I19" s="58">
        <f>ROUND((I15*365/12/12),2)</f>
        <v>1214.1300000000001</v>
      </c>
      <c r="J19" s="58">
        <f>ROUND((J15*365/12/12),2)</f>
        <v>1214.1300000000001</v>
      </c>
      <c r="K19" s="58">
        <f>ROUND((K15*365/12/12),2)</f>
        <v>1214.1300000000001</v>
      </c>
    </row>
    <row r="20" spans="1:16" ht="18" customHeight="1">
      <c r="A20" s="1" t="s">
        <v>38</v>
      </c>
      <c r="F20" s="58">
        <f>ROUND(+F15*(5/12),2)</f>
        <v>199.58</v>
      </c>
      <c r="G20" s="58">
        <f>ROUND(+G15*(5/12),2)</f>
        <v>199.58</v>
      </c>
      <c r="H20" s="59"/>
      <c r="I20" s="14">
        <f>I15*(5/12)</f>
        <v>199.58333333333334</v>
      </c>
      <c r="J20" s="14">
        <f>J15*(5/12)</f>
        <v>199.58333333333334</v>
      </c>
      <c r="K20" s="58">
        <f>ROUND(+K15*(5/12),2)</f>
        <v>199.58</v>
      </c>
    </row>
    <row r="21" spans="1:16" ht="18" customHeight="1">
      <c r="A21" s="1" t="s">
        <v>39</v>
      </c>
      <c r="F21" s="58">
        <v>100</v>
      </c>
      <c r="G21" s="58">
        <v>100</v>
      </c>
      <c r="H21" s="59"/>
      <c r="I21" s="15">
        <v>100</v>
      </c>
      <c r="J21" s="58">
        <v>100</v>
      </c>
      <c r="K21" s="58">
        <v>100</v>
      </c>
    </row>
    <row r="22" spans="1:16" ht="21" customHeight="1">
      <c r="A22" s="1" t="s">
        <v>40</v>
      </c>
      <c r="F22" s="60">
        <v>0</v>
      </c>
      <c r="G22" s="60">
        <f>0*377/12</f>
        <v>0</v>
      </c>
      <c r="H22" s="61"/>
      <c r="I22" s="62">
        <f>+F54</f>
        <v>8184.7133333333331</v>
      </c>
      <c r="J22" s="62">
        <f>+J54</f>
        <v>9003.1841666666678</v>
      </c>
      <c r="K22" s="60">
        <f>0*377/12</f>
        <v>0</v>
      </c>
    </row>
    <row r="23" spans="1:16" ht="18" customHeight="1">
      <c r="F23" s="14">
        <f>ROUND(SUM(F17:F22),2)</f>
        <v>14007.63</v>
      </c>
      <c r="G23" s="14">
        <f>ROUND(SUM(G17:G22),2)</f>
        <v>14424.09</v>
      </c>
      <c r="H23" s="19"/>
      <c r="I23" s="14">
        <f>SUM(I17:I22)</f>
        <v>22192.346666666665</v>
      </c>
      <c r="J23" s="14">
        <f>SUM(J17:J22)</f>
        <v>23635.513500000001</v>
      </c>
      <c r="K23" s="14">
        <f>ROUND(SUM(K17:K22),2)</f>
        <v>14424.09</v>
      </c>
      <c r="N23" s="7"/>
      <c r="O23" s="7"/>
      <c r="P23" s="7"/>
    </row>
    <row r="24" spans="1:16" ht="18" customHeight="1">
      <c r="F24" s="14"/>
      <c r="I24" s="14"/>
      <c r="J24" s="14"/>
    </row>
    <row r="25" spans="1:16" ht="18" customHeight="1">
      <c r="A25" s="11" t="s">
        <v>41</v>
      </c>
      <c r="F25" s="14"/>
      <c r="G25" s="14"/>
      <c r="H25" s="14">
        <f t="shared" ref="H25" si="0">H23-H19</f>
        <v>0</v>
      </c>
      <c r="I25" s="14"/>
      <c r="J25" s="14"/>
      <c r="K25" s="14"/>
    </row>
    <row r="26" spans="1:16" ht="18" customHeight="1">
      <c r="A26" s="1" t="s">
        <v>90</v>
      </c>
      <c r="E26" s="2" t="s">
        <v>34</v>
      </c>
      <c r="F26" s="63">
        <f>ROUND(+F15*22.5/12,2)</f>
        <v>898.13</v>
      </c>
      <c r="G26" s="63">
        <f t="shared" ref="G26:K26" si="1">ROUND(+G15*22.5/12,2)</f>
        <v>898.13</v>
      </c>
      <c r="H26" s="63" t="e">
        <f t="shared" si="1"/>
        <v>#VALUE!</v>
      </c>
      <c r="I26" s="63">
        <f t="shared" si="1"/>
        <v>898.13</v>
      </c>
      <c r="J26" s="63">
        <f t="shared" si="1"/>
        <v>898.13</v>
      </c>
      <c r="K26" s="63">
        <f t="shared" si="1"/>
        <v>898.13</v>
      </c>
    </row>
    <row r="27" spans="1:16" ht="18" customHeight="1">
      <c r="A27" s="1" t="s">
        <v>43</v>
      </c>
      <c r="F27" s="63">
        <v>1235</v>
      </c>
      <c r="G27" s="63">
        <v>1235</v>
      </c>
      <c r="H27" s="59"/>
      <c r="I27" s="63">
        <v>1900</v>
      </c>
      <c r="J27" s="63">
        <v>1900</v>
      </c>
      <c r="K27" s="63">
        <v>1235</v>
      </c>
    </row>
    <row r="28" spans="1:16" ht="18" customHeight="1">
      <c r="A28" s="1" t="s">
        <v>44</v>
      </c>
      <c r="F28" s="63">
        <v>0</v>
      </c>
      <c r="G28" s="63">
        <v>0</v>
      </c>
      <c r="H28" s="59"/>
      <c r="I28" s="63">
        <v>95</v>
      </c>
      <c r="J28" s="63">
        <v>237.5</v>
      </c>
      <c r="K28" s="63">
        <v>0</v>
      </c>
    </row>
    <row r="29" spans="1:16" ht="18" customHeight="1">
      <c r="A29" s="1" t="s">
        <v>91</v>
      </c>
      <c r="F29" s="63">
        <f>ROUND((F17*0.05)/2,2)</f>
        <v>312.35000000000002</v>
      </c>
      <c r="G29" s="63">
        <f t="shared" ref="G29:K29" si="2">ROUND((G17*0.05)/2,2)</f>
        <v>312.35000000000002</v>
      </c>
      <c r="H29" s="63">
        <f t="shared" si="2"/>
        <v>0</v>
      </c>
      <c r="I29" s="63">
        <f t="shared" si="2"/>
        <v>312.35000000000002</v>
      </c>
      <c r="J29" s="63">
        <f t="shared" si="2"/>
        <v>312.35000000000002</v>
      </c>
      <c r="K29" s="63">
        <f t="shared" si="2"/>
        <v>312.35000000000002</v>
      </c>
    </row>
    <row r="30" spans="1:16" ht="18" customHeight="1">
      <c r="A30" s="1" t="s">
        <v>46</v>
      </c>
      <c r="F30" s="63">
        <v>10</v>
      </c>
      <c r="G30" s="63">
        <v>10</v>
      </c>
      <c r="H30" s="59"/>
      <c r="I30" s="58">
        <v>30</v>
      </c>
      <c r="J30" s="58">
        <v>30</v>
      </c>
      <c r="K30" s="63">
        <v>10</v>
      </c>
    </row>
    <row r="31" spans="1:16" ht="18" customHeight="1">
      <c r="A31" s="1" t="s">
        <v>47</v>
      </c>
      <c r="F31" s="64">
        <v>100</v>
      </c>
      <c r="G31" s="64">
        <v>100</v>
      </c>
      <c r="H31" s="61"/>
      <c r="I31" s="60">
        <v>100</v>
      </c>
      <c r="J31" s="60">
        <v>100</v>
      </c>
      <c r="K31" s="64">
        <v>100</v>
      </c>
    </row>
    <row r="32" spans="1:16" ht="18" customHeight="1">
      <c r="F32" s="22">
        <f>ROUND(SUM(F26:F31),2)</f>
        <v>2555.48</v>
      </c>
      <c r="G32" s="22">
        <f>ROUND(SUM(G26:G31),2)</f>
        <v>2555.48</v>
      </c>
      <c r="H32" s="19"/>
      <c r="I32" s="14">
        <f>SUM(I26:I31)</f>
        <v>3335.48</v>
      </c>
      <c r="J32" s="14">
        <f>SUM(J26:J31)</f>
        <v>3477.98</v>
      </c>
      <c r="K32" s="22">
        <f>ROUND(SUM(K26:K31),2)</f>
        <v>2555.48</v>
      </c>
    </row>
    <row r="33" spans="1:11" ht="18" customHeight="1"/>
    <row r="34" spans="1:11" ht="18" customHeight="1">
      <c r="F34" s="11"/>
      <c r="G34" s="11"/>
      <c r="H34" s="8"/>
      <c r="K34" s="11"/>
    </row>
    <row r="35" spans="1:11" ht="18" customHeight="1">
      <c r="A35" s="11" t="s">
        <v>48</v>
      </c>
      <c r="E35" s="2" t="s">
        <v>34</v>
      </c>
      <c r="F35" s="23">
        <f>ROUND(+F23+F32,2)</f>
        <v>16563.11</v>
      </c>
      <c r="G35" s="23">
        <f>ROUND(+G23+G32,2)</f>
        <v>16979.57</v>
      </c>
      <c r="H35" s="2" t="s">
        <v>34</v>
      </c>
      <c r="I35" s="23">
        <f>+I32+I23</f>
        <v>25527.826666666664</v>
      </c>
      <c r="J35" s="23">
        <f>+J32+J23</f>
        <v>27113.4935</v>
      </c>
      <c r="K35" s="23">
        <f>ROUND(+K23+K32,2)</f>
        <v>16979.57</v>
      </c>
    </row>
    <row r="36" spans="1:11" ht="18" customHeight="1"/>
    <row r="37" spans="1:11" ht="18" customHeight="1" thickBot="1">
      <c r="A37" s="11" t="s">
        <v>49</v>
      </c>
    </row>
    <row r="38" spans="1:11">
      <c r="A38" s="116" t="s">
        <v>50</v>
      </c>
      <c r="B38" s="116"/>
      <c r="C38" s="116"/>
      <c r="D38" s="78"/>
      <c r="F38" s="66" t="str">
        <f>IF(D38="","-",IF(D38&lt;20%,"ERROR",IF(D38&gt;24%,"ERROR",ROUND(+F35*D38,2))))</f>
        <v>-</v>
      </c>
      <c r="G38" s="66" t="str">
        <f>IF(D38="","-",IF(D38&lt;20%,"ERROR",IF(D38&gt;24%,"ERROR",ROUND(+G35*D38,2))))</f>
        <v>-</v>
      </c>
      <c r="H38" s="66"/>
      <c r="I38" s="106">
        <f>I35*0.24</f>
        <v>6126.6783999999989</v>
      </c>
      <c r="J38" s="106">
        <f>J35*0.24</f>
        <v>6507.2384400000001</v>
      </c>
      <c r="K38" s="66" t="str">
        <f>IF(D38="","-",IF(D38&lt;20%,"ERROR",IF(D38&gt;24%,"ERROR",ROUND(+K35*D38,2))))</f>
        <v>-</v>
      </c>
    </row>
    <row r="39" spans="1:11" ht="18" customHeight="1">
      <c r="F39" s="11"/>
      <c r="G39" s="11"/>
      <c r="H39" s="8"/>
      <c r="I39" s="11"/>
      <c r="J39" s="11"/>
      <c r="K39" s="11"/>
    </row>
    <row r="40" spans="1:11" ht="18" customHeight="1">
      <c r="A40" s="11" t="s">
        <v>51</v>
      </c>
      <c r="F40" s="65" t="e">
        <f>ROUND(+F38*0.12,2)</f>
        <v>#VALUE!</v>
      </c>
      <c r="G40" s="65" t="e">
        <f>ROUND(+G38*0.12,2)</f>
        <v>#VALUE!</v>
      </c>
      <c r="H40" s="66"/>
      <c r="I40" s="65">
        <f>+I38*0.12</f>
        <v>735.20140799999979</v>
      </c>
      <c r="J40" s="65">
        <f>+J38*0.12</f>
        <v>780.86861279999994</v>
      </c>
      <c r="K40" s="65" t="e">
        <f>ROUND(+K38*0.12,2)</f>
        <v>#VALUE!</v>
      </c>
    </row>
    <row r="41" spans="1:11" ht="18" customHeight="1"/>
    <row r="42" spans="1:11" ht="18" customHeight="1" thickBot="1">
      <c r="A42" s="11" t="s">
        <v>52</v>
      </c>
      <c r="E42" s="2" t="s">
        <v>34</v>
      </c>
      <c r="F42" s="67" t="e">
        <f>ROUND(+F35+F38+F40,2)</f>
        <v>#VALUE!</v>
      </c>
      <c r="G42" s="67" t="e">
        <f>ROUND(+G35+G38+G40,2)</f>
        <v>#VALUE!</v>
      </c>
      <c r="H42" s="2" t="s">
        <v>34</v>
      </c>
      <c r="I42" s="27">
        <f>I35+I38+I40</f>
        <v>32389.706474666666</v>
      </c>
      <c r="J42" s="27">
        <f>J35+J38+J40</f>
        <v>34401.600552799995</v>
      </c>
      <c r="K42" s="67" t="e">
        <f>ROUND(+K35+K38+K40,2)</f>
        <v>#VALUE!</v>
      </c>
    </row>
    <row r="43" spans="1:11" ht="18" customHeight="1" thickTop="1"/>
    <row r="44" spans="1:11" ht="18" hidden="1" customHeight="1"/>
    <row r="45" spans="1:11" hidden="1">
      <c r="F45" s="58"/>
      <c r="G45" s="58"/>
      <c r="H45" s="59"/>
      <c r="K45" s="58"/>
    </row>
    <row r="46" spans="1:11" hidden="1">
      <c r="B46" s="1" t="s">
        <v>54</v>
      </c>
      <c r="F46" s="14"/>
      <c r="G46" s="14"/>
      <c r="H46" s="19"/>
      <c r="I46" s="1" t="s">
        <v>55</v>
      </c>
      <c r="K46" s="14"/>
    </row>
    <row r="47" spans="1:11" hidden="1"/>
    <row r="48" spans="1:11" hidden="1">
      <c r="B48" s="1" t="s">
        <v>56</v>
      </c>
      <c r="C48" s="19">
        <f>F15/8</f>
        <v>59.875</v>
      </c>
      <c r="D48" s="19"/>
      <c r="I48" s="1" t="s">
        <v>56</v>
      </c>
      <c r="J48" s="19">
        <f>I15/8</f>
        <v>59.875</v>
      </c>
    </row>
    <row r="49" spans="1:11" hidden="1">
      <c r="A49" s="2">
        <v>295</v>
      </c>
      <c r="B49" s="1" t="s">
        <v>57</v>
      </c>
      <c r="F49" s="58">
        <f>ROUND((C48*1.25*A49*4),2)</f>
        <v>88315.63</v>
      </c>
      <c r="I49" s="1" t="s">
        <v>58</v>
      </c>
      <c r="J49" s="68">
        <f>ROUND((J48*1.375*A49*4),2)</f>
        <v>97147.19</v>
      </c>
    </row>
    <row r="50" spans="1:11" hidden="1">
      <c r="A50" s="2">
        <v>12</v>
      </c>
      <c r="B50" s="1" t="s">
        <v>59</v>
      </c>
      <c r="F50" s="58">
        <f>ROUND((C48*2.6*A50*4),2)</f>
        <v>7472.4</v>
      </c>
      <c r="I50" s="1" t="s">
        <v>60</v>
      </c>
      <c r="J50" s="68">
        <f>ROUND((J48*2.86*A50*4),2)</f>
        <v>8219.64</v>
      </c>
    </row>
    <row r="51" spans="1:11" hidden="1">
      <c r="A51" s="2">
        <v>6</v>
      </c>
      <c r="B51" s="1" t="s">
        <v>61</v>
      </c>
      <c r="F51" s="58">
        <f>ROUND((C48*1.69*A51*4),2)</f>
        <v>2428.5300000000002</v>
      </c>
      <c r="I51" s="1" t="s">
        <v>62</v>
      </c>
      <c r="J51" s="62">
        <f>ROUND((J48*1.859*A51*4),2)</f>
        <v>2671.38</v>
      </c>
    </row>
    <row r="52" spans="1:11" hidden="1">
      <c r="F52" s="29">
        <f>SUM(F49:F51)</f>
        <v>98216.56</v>
      </c>
      <c r="J52" s="68">
        <f>SUM(J49:J51)</f>
        <v>108038.21</v>
      </c>
    </row>
    <row r="53" spans="1:11" hidden="1">
      <c r="B53" s="1" t="s">
        <v>63</v>
      </c>
      <c r="F53" s="30">
        <v>12</v>
      </c>
      <c r="I53" s="1" t="s">
        <v>64</v>
      </c>
      <c r="J53" s="30">
        <v>12</v>
      </c>
    </row>
    <row r="54" spans="1:11" ht="16.5" hidden="1" thickBot="1">
      <c r="B54" s="1" t="s">
        <v>65</v>
      </c>
      <c r="F54" s="67">
        <f>F52/F53</f>
        <v>8184.7133333333331</v>
      </c>
      <c r="I54" s="1" t="s">
        <v>66</v>
      </c>
      <c r="J54" s="31">
        <f>J52/J53</f>
        <v>9003.1841666666678</v>
      </c>
    </row>
    <row r="55" spans="1:11" ht="16.5" hidden="1" thickTop="1">
      <c r="F55" s="14"/>
    </row>
    <row r="56" spans="1:11" hidden="1">
      <c r="B56" s="11" t="s">
        <v>67</v>
      </c>
      <c r="F56" s="14"/>
      <c r="I56" s="11"/>
    </row>
    <row r="57" spans="1:11" ht="15" hidden="1" customHeight="1">
      <c r="B57" s="1" t="s">
        <v>68</v>
      </c>
    </row>
    <row r="58" spans="1:11" hidden="1">
      <c r="B58" s="1" t="s">
        <v>69</v>
      </c>
    </row>
    <row r="59" spans="1:11" hidden="1"/>
    <row r="60" spans="1:11" ht="16.5" hidden="1" thickBot="1">
      <c r="B60" s="1" t="s">
        <v>70</v>
      </c>
      <c r="F60" s="69">
        <f>F23-F19</f>
        <v>12793.5</v>
      </c>
      <c r="G60" s="69">
        <f>G23-G19</f>
        <v>13209.96</v>
      </c>
      <c r="H60" s="70">
        <f t="shared" ref="H60" si="3">H23-H19</f>
        <v>0</v>
      </c>
      <c r="I60" s="69">
        <f>I23-I19</f>
        <v>20978.216666666664</v>
      </c>
      <c r="J60" s="69">
        <f>J23-J19</f>
        <v>22421.3835</v>
      </c>
      <c r="K60" s="69">
        <f>K23-K19</f>
        <v>13209.96</v>
      </c>
    </row>
    <row r="61" spans="1:11" ht="16.5" hidden="1" thickTop="1"/>
    <row r="62" spans="1:11">
      <c r="A62" s="11" t="s">
        <v>92</v>
      </c>
    </row>
    <row r="64" spans="1:11">
      <c r="A64" s="1" t="s">
        <v>71</v>
      </c>
      <c r="F64" s="71">
        <v>2</v>
      </c>
      <c r="G64" s="71">
        <v>1</v>
      </c>
      <c r="I64" s="71"/>
      <c r="J64" s="71"/>
      <c r="K64" s="71">
        <v>1</v>
      </c>
    </row>
    <row r="65" spans="1:14">
      <c r="F65" s="72"/>
      <c r="G65" s="72"/>
      <c r="I65" s="72"/>
      <c r="J65" s="72"/>
      <c r="K65" s="72"/>
    </row>
    <row r="66" spans="1:14">
      <c r="A66" s="1" t="s">
        <v>72</v>
      </c>
      <c r="F66" s="72" t="e">
        <f>ROUND(F64*F42,2)</f>
        <v>#VALUE!</v>
      </c>
      <c r="G66" s="72" t="e">
        <f>ROUND(G64*G42,2)</f>
        <v>#VALUE!</v>
      </c>
      <c r="I66" s="72">
        <f>I64*I41</f>
        <v>0</v>
      </c>
      <c r="J66" s="72">
        <f>J64*J41</f>
        <v>0</v>
      </c>
      <c r="K66" s="72" t="e">
        <f>ROUND(K64*K42,2)</f>
        <v>#VALUE!</v>
      </c>
    </row>
    <row r="68" spans="1:14" ht="16.5" thickBot="1">
      <c r="A68" s="1" t="s">
        <v>94</v>
      </c>
      <c r="F68" s="75" t="e">
        <f>ROUND(F66*12,2)</f>
        <v>#VALUE!</v>
      </c>
      <c r="G68" s="75" t="e">
        <f>ROUND(G66*12,2)</f>
        <v>#VALUE!</v>
      </c>
      <c r="I68" s="75">
        <f>I66*12</f>
        <v>0</v>
      </c>
      <c r="J68" s="75">
        <f>J66*12</f>
        <v>0</v>
      </c>
      <c r="K68" s="75" t="e">
        <f>ROUND(K66*12,2)</f>
        <v>#VALUE!</v>
      </c>
      <c r="N68" s="7"/>
    </row>
    <row r="69" spans="1:14" ht="16.5" thickTop="1"/>
    <row r="70" spans="1:14" ht="19.5" thickBot="1">
      <c r="K70" s="77" t="e">
        <f>SUM(K68,G68,F68)</f>
        <v>#VALUE!</v>
      </c>
    </row>
    <row r="71" spans="1:14" ht="16.5" thickTop="1"/>
  </sheetData>
  <sheetProtection algorithmName="SHA-512" hashValue="LR6QRkWdZ2IYjLdHgb2uqrEysjacHNOeTF906wmR6gN+kIbEYRnTurYVFInJm60cbS+Zi7XHiPdQ9BAiJI3GVg==" saltValue="xqNwwTRLnSCeXkcvId3hOA==" spinCount="100000" sheet="1" objects="1" scenarios="1"/>
  <mergeCells count="5">
    <mergeCell ref="A38:C38"/>
    <mergeCell ref="A4:K4"/>
    <mergeCell ref="A2:K2"/>
    <mergeCell ref="A3:K3"/>
    <mergeCell ref="F8:K8"/>
  </mergeCells>
  <conditionalFormatting sqref="D38">
    <cfRule type="containsBlanks" dxfId="1" priority="1">
      <formula>LEN(TRIM(D38))=0</formula>
    </cfRule>
  </conditionalFormatting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7E8DC-5466-4B6D-BAF9-B51824C05D64}">
  <dimension ref="A2:O70"/>
  <sheetViews>
    <sheetView topLeftCell="A4" zoomScale="82" zoomScaleNormal="82" workbookViewId="0">
      <selection activeCell="A67" sqref="A67:C67"/>
    </sheetView>
  </sheetViews>
  <sheetFormatPr defaultColWidth="9.140625" defaultRowHeight="15.75"/>
  <cols>
    <col min="1" max="1" width="4.5703125" style="1" customWidth="1"/>
    <col min="2" max="2" width="27.140625" style="1" customWidth="1"/>
    <col min="3" max="3" width="29.5703125" style="1" customWidth="1"/>
    <col min="4" max="4" width="4.140625" style="1" customWidth="1"/>
    <col min="5" max="5" width="18.140625" style="1" customWidth="1"/>
    <col min="6" max="6" width="18" style="1" customWidth="1"/>
    <col min="7" max="7" width="3.42578125" style="2" customWidth="1"/>
    <col min="8" max="8" width="20.42578125" style="1" customWidth="1"/>
    <col min="9" max="10" width="21.140625" style="1" customWidth="1"/>
    <col min="11" max="12" width="9.140625" style="1"/>
    <col min="13" max="13" width="11.85546875" style="1" bestFit="1" customWidth="1"/>
    <col min="14" max="14" width="11.42578125" style="1" customWidth="1"/>
    <col min="15" max="15" width="12" style="1" customWidth="1"/>
    <col min="16" max="16384" width="9.140625" style="1"/>
  </cols>
  <sheetData>
    <row r="2" spans="1:10">
      <c r="A2" s="117" t="s">
        <v>95</v>
      </c>
      <c r="B2" s="117"/>
      <c r="C2" s="117"/>
      <c r="D2" s="117"/>
      <c r="E2" s="117"/>
      <c r="F2" s="117"/>
      <c r="G2" s="117"/>
      <c r="H2" s="117"/>
      <c r="I2" s="117"/>
    </row>
    <row r="3" spans="1:10">
      <c r="A3" s="118" t="s">
        <v>96</v>
      </c>
      <c r="B3" s="118"/>
      <c r="C3" s="118"/>
      <c r="D3" s="118"/>
      <c r="E3" s="118"/>
      <c r="F3" s="118"/>
      <c r="G3" s="118"/>
      <c r="H3" s="118"/>
      <c r="I3" s="118"/>
    </row>
    <row r="4" spans="1:10">
      <c r="A4" s="118" t="s">
        <v>97</v>
      </c>
      <c r="B4" s="118"/>
      <c r="C4" s="118"/>
      <c r="D4" s="118"/>
      <c r="E4" s="118"/>
      <c r="F4" s="118"/>
      <c r="G4" s="118"/>
      <c r="H4" s="118"/>
      <c r="I4" s="118"/>
    </row>
    <row r="6" spans="1:10" ht="18" customHeight="1">
      <c r="E6" s="117" t="s">
        <v>98</v>
      </c>
      <c r="F6" s="117"/>
      <c r="G6" s="8"/>
      <c r="H6" s="121" t="s">
        <v>99</v>
      </c>
      <c r="I6" s="121"/>
      <c r="J6" s="121"/>
    </row>
    <row r="7" spans="1:10" ht="18" customHeight="1">
      <c r="A7" s="1" t="s">
        <v>24</v>
      </c>
      <c r="E7" s="2" t="s">
        <v>25</v>
      </c>
      <c r="F7" s="2" t="s">
        <v>25</v>
      </c>
      <c r="H7" s="2" t="s">
        <v>25</v>
      </c>
      <c r="I7" s="2" t="s">
        <v>25</v>
      </c>
      <c r="J7" s="2" t="s">
        <v>25</v>
      </c>
    </row>
    <row r="8" spans="1:10" ht="18" customHeight="1">
      <c r="A8" s="1" t="s">
        <v>26</v>
      </c>
      <c r="E8" s="2">
        <v>313</v>
      </c>
      <c r="F8" s="2">
        <v>313</v>
      </c>
      <c r="H8" s="2">
        <v>313</v>
      </c>
      <c r="I8" s="2">
        <v>313</v>
      </c>
      <c r="J8" s="2">
        <v>313</v>
      </c>
    </row>
    <row r="9" spans="1:10" ht="18" customHeight="1">
      <c r="E9" s="2" t="s">
        <v>27</v>
      </c>
      <c r="F9" s="2" t="s">
        <v>27</v>
      </c>
      <c r="H9" s="2" t="s">
        <v>27</v>
      </c>
      <c r="I9" s="2" t="s">
        <v>27</v>
      </c>
      <c r="J9" s="2" t="s">
        <v>27</v>
      </c>
    </row>
    <row r="10" spans="1:10" ht="18" customHeight="1">
      <c r="E10" s="2" t="s">
        <v>29</v>
      </c>
      <c r="F10" s="2" t="s">
        <v>30</v>
      </c>
      <c r="H10" s="2" t="s">
        <v>29</v>
      </c>
      <c r="I10" s="2" t="s">
        <v>30</v>
      </c>
      <c r="J10" s="2" t="s">
        <v>31</v>
      </c>
    </row>
    <row r="11" spans="1:10" ht="18" customHeight="1"/>
    <row r="12" spans="1:10" ht="18" customHeight="1">
      <c r="A12" s="11" t="s">
        <v>32</v>
      </c>
    </row>
    <row r="13" spans="1:10" ht="18" customHeight="1">
      <c r="A13" s="1" t="s">
        <v>33</v>
      </c>
      <c r="D13" s="2" t="s">
        <v>34</v>
      </c>
      <c r="E13" s="12">
        <v>443</v>
      </c>
      <c r="F13" s="12">
        <v>443</v>
      </c>
      <c r="G13" s="2" t="s">
        <v>34</v>
      </c>
      <c r="H13" s="12">
        <v>443</v>
      </c>
      <c r="I13" s="12">
        <v>443</v>
      </c>
      <c r="J13" s="12">
        <v>443</v>
      </c>
    </row>
    <row r="14" spans="1:10" ht="18" customHeight="1"/>
    <row r="15" spans="1:10">
      <c r="A15" s="1" t="s">
        <v>35</v>
      </c>
      <c r="E15" s="12">
        <f>ROUND((E13*E8/12),2)</f>
        <v>11554.92</v>
      </c>
      <c r="F15" s="12">
        <f>ROUND((F13*F8/12),2)</f>
        <v>11554.92</v>
      </c>
      <c r="G15" s="13"/>
      <c r="H15" s="12">
        <f>ROUND((H13*H8/12),2)</f>
        <v>11554.92</v>
      </c>
      <c r="I15" s="12">
        <f>ROUND((I13*I8/12),2)</f>
        <v>11554.92</v>
      </c>
      <c r="J15" s="12">
        <f>ROUND((J13*J8/12),2)</f>
        <v>11554.92</v>
      </c>
    </row>
    <row r="16" spans="1:10" ht="19.5" customHeight="1">
      <c r="A16" s="1" t="s">
        <v>36</v>
      </c>
      <c r="E16" s="12">
        <v>0</v>
      </c>
      <c r="F16" s="12">
        <f>ROUND(+F15*10%*1/3,2)</f>
        <v>385.16</v>
      </c>
      <c r="G16" s="13"/>
      <c r="H16" s="12">
        <v>0</v>
      </c>
      <c r="I16" s="12">
        <f>ROUND(+I15*10%*1/3,2)</f>
        <v>385.16</v>
      </c>
      <c r="J16" s="12">
        <f>ROUND(+J15*10%*1/3,2)</f>
        <v>385.16</v>
      </c>
    </row>
    <row r="17" spans="1:15" ht="18" customHeight="1">
      <c r="A17" s="1" t="s">
        <v>37</v>
      </c>
      <c r="E17" s="12">
        <f>ROUND((E13*365/12/12),2)</f>
        <v>1122.8800000000001</v>
      </c>
      <c r="F17" s="12">
        <f>ROUND((F13*365/12/12),2)</f>
        <v>1122.8800000000001</v>
      </c>
      <c r="G17" s="13"/>
      <c r="H17" s="12">
        <f>ROUND((H13*365/12/12),2)</f>
        <v>1122.8800000000001</v>
      </c>
      <c r="I17" s="12">
        <f>ROUND((I13*365/12/12),2)</f>
        <v>1122.8800000000001</v>
      </c>
      <c r="J17" s="12">
        <f>ROUND((J13*365/12/12),2)</f>
        <v>1122.8800000000001</v>
      </c>
    </row>
    <row r="18" spans="1:15" ht="18" customHeight="1">
      <c r="A18" s="1" t="s">
        <v>38</v>
      </c>
      <c r="E18" s="14">
        <f>ROUND(E13*(5/12),2)</f>
        <v>184.58</v>
      </c>
      <c r="F18" s="14">
        <f>ROUND(F13*(5/12),2)</f>
        <v>184.58</v>
      </c>
      <c r="G18" s="13"/>
      <c r="H18" s="14">
        <f>ROUND(H13*(5/12),2)</f>
        <v>184.58</v>
      </c>
      <c r="I18" s="14">
        <f>ROUND(I13*(5/12),2)</f>
        <v>184.58</v>
      </c>
      <c r="J18" s="14">
        <f>ROUND(J13*(5/12),2)</f>
        <v>184.58</v>
      </c>
    </row>
    <row r="19" spans="1:15" ht="18" customHeight="1">
      <c r="A19" s="1" t="s">
        <v>39</v>
      </c>
      <c r="E19" s="12">
        <v>100</v>
      </c>
      <c r="F19" s="12">
        <v>100</v>
      </c>
      <c r="G19" s="13"/>
      <c r="H19" s="15">
        <v>100</v>
      </c>
      <c r="I19" s="12">
        <v>100</v>
      </c>
      <c r="J19" s="12">
        <v>100</v>
      </c>
    </row>
    <row r="20" spans="1:15" ht="21" customHeight="1">
      <c r="A20" s="1" t="s">
        <v>40</v>
      </c>
      <c r="E20" s="16">
        <v>0</v>
      </c>
      <c r="F20" s="16">
        <f>0*377/12</f>
        <v>0</v>
      </c>
      <c r="G20" s="17"/>
      <c r="H20" s="18"/>
      <c r="I20" s="18"/>
      <c r="J20" s="18"/>
    </row>
    <row r="21" spans="1:15" ht="18" customHeight="1">
      <c r="E21" s="14">
        <f>SUM(E15:E20)</f>
        <v>12962.38</v>
      </c>
      <c r="F21" s="14">
        <f>ROUND(SUM(F15:F20),2)</f>
        <v>13347.54</v>
      </c>
      <c r="G21" s="19"/>
      <c r="H21" s="14">
        <f>ROUND(SUM(H15:H20),2)</f>
        <v>12962.38</v>
      </c>
      <c r="I21" s="14">
        <f>ROUND(SUM(I15:I20),2)</f>
        <v>13347.54</v>
      </c>
      <c r="J21" s="14">
        <f>ROUND(SUM(J15:J20),2)</f>
        <v>13347.54</v>
      </c>
      <c r="M21" s="7"/>
      <c r="N21" s="7"/>
      <c r="O21" s="7"/>
    </row>
    <row r="22" spans="1:15" ht="18" customHeight="1">
      <c r="E22" s="14"/>
    </row>
    <row r="23" spans="1:15" ht="18" customHeight="1">
      <c r="A23" s="11" t="s">
        <v>41</v>
      </c>
    </row>
    <row r="24" spans="1:15" ht="18" customHeight="1">
      <c r="A24" s="1" t="s">
        <v>42</v>
      </c>
      <c r="E24" s="20">
        <f>+E13*22.5/12</f>
        <v>830.625</v>
      </c>
      <c r="F24" s="20">
        <f>+F13*22.5/12</f>
        <v>830.625</v>
      </c>
      <c r="G24" s="13"/>
      <c r="H24" s="12">
        <f>ROUND(+H13*22.5/12,2)</f>
        <v>830.63</v>
      </c>
      <c r="I24" s="12">
        <f>ROUND(+I13*22.5/12,2)</f>
        <v>830.63</v>
      </c>
      <c r="J24" s="12">
        <f>ROUND(+J13*22.5/12,2)</f>
        <v>830.63</v>
      </c>
    </row>
    <row r="25" spans="1:15" ht="18" customHeight="1">
      <c r="A25" s="3" t="s">
        <v>43</v>
      </c>
      <c r="E25" s="20">
        <v>1140</v>
      </c>
      <c r="F25" s="20">
        <v>1140</v>
      </c>
      <c r="G25" s="13"/>
      <c r="H25" s="20">
        <v>1140</v>
      </c>
      <c r="I25" s="20">
        <v>1140</v>
      </c>
      <c r="J25" s="20">
        <v>1140</v>
      </c>
    </row>
    <row r="26" spans="1:15" ht="18" customHeight="1">
      <c r="A26" s="3" t="s">
        <v>44</v>
      </c>
      <c r="E26" s="20">
        <v>0</v>
      </c>
      <c r="F26" s="20">
        <v>0</v>
      </c>
      <c r="G26" s="13"/>
      <c r="H26" s="20">
        <v>0</v>
      </c>
      <c r="I26" s="20">
        <v>0</v>
      </c>
      <c r="J26" s="20">
        <v>0</v>
      </c>
    </row>
    <row r="27" spans="1:15" ht="18" customHeight="1">
      <c r="A27" s="1" t="s">
        <v>45</v>
      </c>
      <c r="E27" s="20">
        <f>(E15*0.05)/2</f>
        <v>288.87299999999999</v>
      </c>
      <c r="F27" s="20">
        <f>(F15*0.05)/2</f>
        <v>288.87299999999999</v>
      </c>
      <c r="G27" s="13"/>
      <c r="H27" s="12">
        <f>ROUND((H15*0.05/2),2)</f>
        <v>288.87</v>
      </c>
      <c r="I27" s="12">
        <f>ROUND((I15*0.05/2),2)</f>
        <v>288.87</v>
      </c>
      <c r="J27" s="12">
        <f>ROUND((J15*0.05/2),2)</f>
        <v>288.87</v>
      </c>
    </row>
    <row r="28" spans="1:15" ht="18" customHeight="1">
      <c r="A28" s="1" t="s">
        <v>46</v>
      </c>
      <c r="E28" s="20">
        <v>10</v>
      </c>
      <c r="F28" s="20">
        <v>10</v>
      </c>
      <c r="G28" s="13"/>
      <c r="H28" s="12">
        <v>10</v>
      </c>
      <c r="I28" s="12">
        <v>10</v>
      </c>
      <c r="J28" s="12">
        <v>10</v>
      </c>
    </row>
    <row r="29" spans="1:15" ht="18" customHeight="1">
      <c r="A29" s="1" t="s">
        <v>47</v>
      </c>
      <c r="E29" s="21">
        <v>100</v>
      </c>
      <c r="F29" s="21">
        <v>100</v>
      </c>
      <c r="G29" s="17"/>
      <c r="H29" s="16">
        <v>100</v>
      </c>
      <c r="I29" s="16">
        <v>100</v>
      </c>
      <c r="J29" s="16">
        <v>100</v>
      </c>
    </row>
    <row r="30" spans="1:15" ht="18" customHeight="1">
      <c r="E30" s="22">
        <f>SUM(E24:E29)</f>
        <v>2369.498</v>
      </c>
      <c r="F30" s="22">
        <f>SUM(F24:F29)</f>
        <v>2369.498</v>
      </c>
      <c r="G30" s="19"/>
      <c r="H30" s="14">
        <f>ROUND(SUM(H24:H29),2)</f>
        <v>2369.5</v>
      </c>
      <c r="I30" s="14">
        <f>ROUND(SUM(I24:I29),2)</f>
        <v>2369.5</v>
      </c>
      <c r="J30" s="14">
        <f>ROUND(SUM(J24:J29),2)</f>
        <v>2369.5</v>
      </c>
    </row>
    <row r="31" spans="1:15" ht="18" customHeight="1"/>
    <row r="32" spans="1:15" ht="18" customHeight="1">
      <c r="E32" s="11"/>
      <c r="F32" s="11"/>
      <c r="G32" s="8"/>
    </row>
    <row r="33" spans="1:10" ht="18" customHeight="1">
      <c r="A33" s="11" t="s">
        <v>48</v>
      </c>
      <c r="D33" s="2" t="s">
        <v>34</v>
      </c>
      <c r="E33" s="23">
        <f>+E21+E30</f>
        <v>15331.877999999999</v>
      </c>
      <c r="F33" s="23">
        <f>ROUND(+F21+F30,2)</f>
        <v>15717.04</v>
      </c>
      <c r="G33" s="2" t="s">
        <v>34</v>
      </c>
      <c r="H33" s="23">
        <f>ROUND(+H30+H21,2)</f>
        <v>15331.88</v>
      </c>
      <c r="I33" s="23">
        <f>ROUND(+I30+I21,2)</f>
        <v>15717.04</v>
      </c>
      <c r="J33" s="23">
        <f>ROUND(+J30+J21,2)</f>
        <v>15717.04</v>
      </c>
    </row>
    <row r="34" spans="1:10" ht="18" customHeight="1"/>
    <row r="35" spans="1:10" ht="18" customHeight="1">
      <c r="A35" s="11" t="s">
        <v>49</v>
      </c>
    </row>
    <row r="36" spans="1:10">
      <c r="A36" s="116" t="s">
        <v>50</v>
      </c>
      <c r="B36" s="116"/>
      <c r="C36" s="116"/>
      <c r="E36" s="24">
        <f>+E33*0.24</f>
        <v>3679.6507199999996</v>
      </c>
      <c r="F36" s="24">
        <f>+F33*24%</f>
        <v>3772.0896000000002</v>
      </c>
      <c r="G36" s="25"/>
      <c r="H36" s="23">
        <f>ROUND(H33*0.24,2)</f>
        <v>3679.65</v>
      </c>
      <c r="I36" s="23">
        <f>ROUND(I33*0.24,2)</f>
        <v>3772.09</v>
      </c>
      <c r="J36" s="23">
        <f>ROUND(J33*0.24,2)</f>
        <v>3772.09</v>
      </c>
    </row>
    <row r="37" spans="1:10" ht="18" customHeight="1">
      <c r="E37" s="11"/>
      <c r="F37" s="11"/>
      <c r="G37" s="8"/>
      <c r="H37" s="11"/>
      <c r="I37" s="11"/>
      <c r="J37" s="11"/>
    </row>
    <row r="38" spans="1:10" ht="18" customHeight="1">
      <c r="A38" s="11" t="s">
        <v>51</v>
      </c>
      <c r="E38" s="24">
        <f>+E36*0.12</f>
        <v>441.55808639999992</v>
      </c>
      <c r="F38" s="24">
        <f>+F36*0.12</f>
        <v>452.65075200000001</v>
      </c>
      <c r="G38" s="25"/>
      <c r="H38" s="24">
        <f>ROUND(+H36*0.12,2)</f>
        <v>441.56</v>
      </c>
      <c r="I38" s="24">
        <f>ROUND(+I36*0.12,2)</f>
        <v>452.65</v>
      </c>
      <c r="J38" s="24">
        <f>ROUND(+J36*0.12,2)</f>
        <v>452.65</v>
      </c>
    </row>
    <row r="39" spans="1:10" ht="18" customHeight="1"/>
    <row r="40" spans="1:10" ht="18" customHeight="1" thickBot="1">
      <c r="A40" s="11" t="s">
        <v>52</v>
      </c>
      <c r="D40" s="2" t="s">
        <v>34</v>
      </c>
      <c r="E40" s="26">
        <f>+E33+E36+E38</f>
        <v>19453.086806399999</v>
      </c>
      <c r="F40" s="26">
        <f>+F33+F36+F38</f>
        <v>19941.780352000002</v>
      </c>
      <c r="G40" s="2" t="s">
        <v>34</v>
      </c>
      <c r="H40" s="27">
        <f>ROUND(H33+H36+H38,2)</f>
        <v>19453.09</v>
      </c>
      <c r="I40" s="27">
        <f>ROUND(I33+I36+I38,2)</f>
        <v>19941.78</v>
      </c>
      <c r="J40" s="27">
        <f>ROUND(J33+J36+J38,2)</f>
        <v>19941.78</v>
      </c>
    </row>
    <row r="41" spans="1:10" ht="18" customHeight="1" thickTop="1"/>
    <row r="43" spans="1:10">
      <c r="E43" s="12"/>
      <c r="F43" s="12"/>
      <c r="G43" s="13"/>
    </row>
    <row r="44" spans="1:10">
      <c r="B44" s="1" t="s">
        <v>54</v>
      </c>
      <c r="E44" s="14"/>
      <c r="F44" s="14"/>
      <c r="G44" s="19"/>
      <c r="H44" s="1" t="s">
        <v>55</v>
      </c>
    </row>
    <row r="46" spans="1:10">
      <c r="B46" s="1" t="s">
        <v>56</v>
      </c>
      <c r="C46" s="19">
        <f>E13/8</f>
        <v>55.375</v>
      </c>
      <c r="H46" s="1" t="s">
        <v>56</v>
      </c>
      <c r="I46" s="19">
        <f>I13/8</f>
        <v>55.375</v>
      </c>
      <c r="J46" s="19">
        <f>J13/8</f>
        <v>55.375</v>
      </c>
    </row>
    <row r="47" spans="1:10">
      <c r="A47" s="2">
        <v>295</v>
      </c>
      <c r="B47" s="1" t="s">
        <v>57</v>
      </c>
      <c r="E47" s="12">
        <f>ROUND((C46*1.25*295*4),2)</f>
        <v>81678.13</v>
      </c>
      <c r="H47" s="3" t="s">
        <v>58</v>
      </c>
      <c r="I47" s="28">
        <f>ROUND((I46*1.375*A47*4),2)</f>
        <v>89845.94</v>
      </c>
      <c r="J47" s="28">
        <f>ROUND((J46*1.375*A47*4),2)</f>
        <v>89845.94</v>
      </c>
    </row>
    <row r="48" spans="1:10">
      <c r="A48" s="2">
        <v>12</v>
      </c>
      <c r="B48" s="1" t="s">
        <v>59</v>
      </c>
      <c r="E48" s="12">
        <f>ROUND((C46*2.6*12*4),2)</f>
        <v>6910.8</v>
      </c>
      <c r="H48" s="3" t="s">
        <v>60</v>
      </c>
      <c r="I48" s="28">
        <f>ROUND((I46*2.86*A48*4),2)</f>
        <v>7601.88</v>
      </c>
      <c r="J48" s="28">
        <f>ROUND((J46*2.86*A48*4),2)</f>
        <v>7601.88</v>
      </c>
    </row>
    <row r="49" spans="1:10">
      <c r="A49" s="2">
        <v>6</v>
      </c>
      <c r="B49" s="1" t="s">
        <v>61</v>
      </c>
      <c r="E49" s="12">
        <f>ROUND((C46*1.69*A49*4),2)</f>
        <v>2246.0100000000002</v>
      </c>
      <c r="H49" s="3" t="s">
        <v>62</v>
      </c>
      <c r="I49" s="18">
        <f>ROUND((I46*1.859*A49*4),2)</f>
        <v>2470.61</v>
      </c>
      <c r="J49" s="18">
        <f>ROUND((J46*1.859*A49*4),2)</f>
        <v>2470.61</v>
      </c>
    </row>
    <row r="50" spans="1:10">
      <c r="E50" s="29">
        <f>SUM(E47:E49)</f>
        <v>90834.94</v>
      </c>
      <c r="I50" s="28">
        <f>SUM(I47:I49)</f>
        <v>99918.430000000008</v>
      </c>
      <c r="J50" s="28">
        <f>SUM(J47:J49)</f>
        <v>99918.430000000008</v>
      </c>
    </row>
    <row r="51" spans="1:10">
      <c r="B51" s="1" t="s">
        <v>63</v>
      </c>
      <c r="E51" s="30">
        <v>12</v>
      </c>
      <c r="H51" s="1" t="s">
        <v>64</v>
      </c>
      <c r="I51" s="30">
        <v>12</v>
      </c>
      <c r="J51" s="30">
        <v>12</v>
      </c>
    </row>
    <row r="52" spans="1:10" ht="16.5" thickBot="1">
      <c r="B52" s="1" t="s">
        <v>65</v>
      </c>
      <c r="E52" s="26">
        <f>E50/E51</f>
        <v>7569.5783333333338</v>
      </c>
      <c r="H52" s="1" t="s">
        <v>66</v>
      </c>
      <c r="I52" s="31">
        <f>I50/I51</f>
        <v>8326.5358333333334</v>
      </c>
      <c r="J52" s="31">
        <f>J50/J51</f>
        <v>8326.5358333333334</v>
      </c>
    </row>
    <row r="53" spans="1:10" ht="16.5" thickTop="1"/>
    <row r="54" spans="1:10">
      <c r="B54" s="11" t="s">
        <v>67</v>
      </c>
      <c r="E54" s="14"/>
      <c r="H54" s="11"/>
    </row>
    <row r="55" spans="1:10" ht="15" customHeight="1">
      <c r="B55" s="1" t="s">
        <v>68</v>
      </c>
    </row>
    <row r="56" spans="1:10">
      <c r="B56" s="1" t="s">
        <v>69</v>
      </c>
    </row>
    <row r="59" spans="1:10" ht="18" customHeight="1" thickBot="1">
      <c r="B59" s="1" t="s">
        <v>70</v>
      </c>
      <c r="E59" s="32">
        <f>E21-E17</f>
        <v>11839.5</v>
      </c>
      <c r="F59" s="32">
        <f>F21-F17</f>
        <v>12224.66</v>
      </c>
      <c r="G59" s="33"/>
      <c r="H59" s="34">
        <f>H21-H17</f>
        <v>11839.5</v>
      </c>
      <c r="I59" s="34">
        <f>I21-I17</f>
        <v>12224.66</v>
      </c>
      <c r="J59" s="34">
        <f>J21-J17</f>
        <v>12224.66</v>
      </c>
    </row>
    <row r="60" spans="1:10" ht="16.5" thickTop="1"/>
    <row r="61" spans="1:10">
      <c r="A61" s="6" t="s">
        <v>100</v>
      </c>
      <c r="B61" s="3"/>
      <c r="C61" s="3"/>
      <c r="D61" s="5"/>
      <c r="E61" s="3"/>
      <c r="F61" s="3"/>
      <c r="G61" s="5"/>
      <c r="H61" s="3"/>
      <c r="I61" s="3"/>
      <c r="J61" s="3"/>
    </row>
    <row r="62" spans="1:10">
      <c r="A62" s="3"/>
      <c r="B62" s="3"/>
      <c r="C62" s="3"/>
      <c r="D62" s="5"/>
      <c r="E62" s="3"/>
      <c r="F62" s="3"/>
      <c r="G62" s="5"/>
      <c r="H62" s="3"/>
      <c r="I62" s="3"/>
      <c r="J62" s="3"/>
    </row>
    <row r="63" spans="1:10">
      <c r="A63" s="3" t="s">
        <v>71</v>
      </c>
      <c r="B63" s="3"/>
      <c r="C63" s="3"/>
      <c r="D63" s="5"/>
      <c r="E63" s="3"/>
      <c r="F63" s="3"/>
      <c r="G63" s="5"/>
      <c r="H63" s="5">
        <v>2</v>
      </c>
      <c r="I63" s="5">
        <v>1</v>
      </c>
      <c r="J63" s="5">
        <v>1</v>
      </c>
    </row>
    <row r="64" spans="1:10">
      <c r="A64" s="3"/>
      <c r="B64" s="3"/>
      <c r="C64" s="3"/>
      <c r="D64" s="5"/>
      <c r="E64" s="3"/>
      <c r="F64" s="3"/>
      <c r="G64" s="5"/>
      <c r="H64" s="3"/>
      <c r="I64" s="3"/>
      <c r="J64" s="3"/>
    </row>
    <row r="65" spans="1:13">
      <c r="A65" s="3" t="s">
        <v>72</v>
      </c>
      <c r="B65" s="3"/>
      <c r="C65" s="3"/>
      <c r="D65" s="5"/>
      <c r="E65" s="3"/>
      <c r="F65" s="3"/>
      <c r="G65" s="5"/>
      <c r="H65" s="9">
        <f>ROUND(H40*H63,2)</f>
        <v>38906.18</v>
      </c>
      <c r="I65" s="9">
        <f>ROUND(I40*I63,2)</f>
        <v>19941.78</v>
      </c>
      <c r="J65" s="9">
        <f>ROUND(J40*J63,2)</f>
        <v>19941.78</v>
      </c>
      <c r="K65" s="1" t="s">
        <v>101</v>
      </c>
    </row>
    <row r="66" spans="1:13">
      <c r="A66" s="3"/>
      <c r="B66" s="3"/>
      <c r="C66" s="3"/>
      <c r="D66" s="5"/>
      <c r="E66" s="3"/>
      <c r="F66" s="3"/>
      <c r="G66" s="5"/>
      <c r="H66" s="3"/>
      <c r="I66" s="3"/>
      <c r="J66" s="3"/>
    </row>
    <row r="67" spans="1:13" ht="15.95" customHeight="1" thickBot="1">
      <c r="A67" s="120" t="s">
        <v>102</v>
      </c>
      <c r="B67" s="120"/>
      <c r="C67" s="120"/>
      <c r="D67" s="5"/>
      <c r="E67" s="38"/>
      <c r="F67" s="38"/>
      <c r="G67" s="37"/>
      <c r="H67" s="10">
        <f>ROUND(H65*12,2)</f>
        <v>466874.16</v>
      </c>
      <c r="I67" s="10">
        <f>ROUND(I65*12,2)</f>
        <v>239301.36</v>
      </c>
      <c r="J67" s="10">
        <f>ROUND(J65*12,2)</f>
        <v>239301.36</v>
      </c>
      <c r="M67" s="35"/>
    </row>
    <row r="68" spans="1:13" ht="16.5" thickTop="1"/>
    <row r="69" spans="1:13" ht="19.5" thickBot="1">
      <c r="H69" s="119">
        <f>SUM(H67:J67)</f>
        <v>945476.88</v>
      </c>
      <c r="I69" s="119"/>
      <c r="J69" s="119"/>
    </row>
    <row r="70" spans="1:13" ht="16.5" thickTop="1"/>
  </sheetData>
  <mergeCells count="8">
    <mergeCell ref="H69:J69"/>
    <mergeCell ref="A67:C67"/>
    <mergeCell ref="A2:I2"/>
    <mergeCell ref="A3:I3"/>
    <mergeCell ref="A4:I4"/>
    <mergeCell ref="E6:F6"/>
    <mergeCell ref="H6:J6"/>
    <mergeCell ref="A36:C36"/>
  </mergeCells>
  <pageMargins left="0.70866141732283505" right="0.70866141732283505" top="0.74803149606299202" bottom="0.74803149606299202" header="0.31496062992126" footer="0.31496062992126"/>
  <pageSetup paperSize="124"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CCAAA54F5FA34BA51040CAB742C29E" ma:contentTypeVersion="16" ma:contentTypeDescription="Create a new document." ma:contentTypeScope="" ma:versionID="9abe76f437ef7bb77f1b288b81358230">
  <xsd:schema xmlns:xsd="http://www.w3.org/2001/XMLSchema" xmlns:xs="http://www.w3.org/2001/XMLSchema" xmlns:p="http://schemas.microsoft.com/office/2006/metadata/properties" xmlns:ns3="0ef6458b-2e26-4a91-bb0e-4be8d074fc11" xmlns:ns4="c7a35127-d575-4605-ae17-b30ae5ca0f22" targetNamespace="http://schemas.microsoft.com/office/2006/metadata/properties" ma:root="true" ma:fieldsID="e2302756e2ba66a01d0e6e8e88f4aa7f" ns3:_="" ns4:_="">
    <xsd:import namespace="0ef6458b-2e26-4a91-bb0e-4be8d074fc11"/>
    <xsd:import namespace="c7a35127-d575-4605-ae17-b30ae5ca0f2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DateTaken" minOccurs="0"/>
                <xsd:element ref="ns3:MediaServiceLocation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f6458b-2e26-4a91-bb0e-4be8d074fc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a35127-d575-4605-ae17-b30ae5ca0f2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ef6458b-2e26-4a91-bb0e-4be8d074fc11" xsi:nil="true"/>
  </documentManagement>
</p:properties>
</file>

<file path=customXml/itemProps1.xml><?xml version="1.0" encoding="utf-8"?>
<ds:datastoreItem xmlns:ds="http://schemas.openxmlformats.org/officeDocument/2006/customXml" ds:itemID="{9F4D53B6-CF72-4C50-BE40-E163676750BE}"/>
</file>

<file path=customXml/itemProps2.xml><?xml version="1.0" encoding="utf-8"?>
<ds:datastoreItem xmlns:ds="http://schemas.openxmlformats.org/officeDocument/2006/customXml" ds:itemID="{0FC38B03-F711-4C03-807B-3CAB27A04C6E}"/>
</file>

<file path=customXml/itemProps3.xml><?xml version="1.0" encoding="utf-8"?>
<ds:datastoreItem xmlns:ds="http://schemas.openxmlformats.org/officeDocument/2006/customXml" ds:itemID="{630C4D9B-7734-4C48-B9F3-4FCB3D2AF4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Shara Valdeabella</dc:creator>
  <cp:keywords/>
  <dc:description/>
  <cp:lastModifiedBy>Noreen Antonio</cp:lastModifiedBy>
  <cp:revision/>
  <dcterms:created xsi:type="dcterms:W3CDTF">2022-09-08T07:38:08Z</dcterms:created>
  <dcterms:modified xsi:type="dcterms:W3CDTF">2023-10-06T01:03:33Z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0x01010032CCAAA54F5FA34BA51040CAB742C29E</vt:lpwstr>
  </property>
</Properties>
</file>