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fpmo-my.sharepoint.com/personal/mmnatividad_pmo_gov_ph/Documents/OTG-USB/2023/2023 - CSD/2024 Security Procurement/Security Services Budget for 2024/New Rate Budget for 2024/submitted to BAC/3 - not FA revised ABC/"/>
    </mc:Choice>
  </mc:AlternateContent>
  <xr:revisionPtr revIDLastSave="116" documentId="8_{F9250334-645D-41EE-8F7B-527397A2771E}" xr6:coauthVersionLast="47" xr6:coauthVersionMax="47" xr10:uidLastSave="{402B19B4-8B23-46C1-AD85-40E39BCE9EB2}"/>
  <workbookProtection workbookAlgorithmName="SHA-512" workbookHashValue="w3JFe/EjHanVoRoV92CGMc+ox76Yxn86LoTZoQ/GBO+345L3DQzGKZ/lvM4dX1/QyKIitinrHaDYX+5YMS28ZA==" workbookSaltValue="zpYtKVtWz8mrpXKhdUyEYA==" workbookSpinCount="100000" lockStructure="1"/>
  <bookViews>
    <workbookView xWindow="-120" yWindow="-120" windowWidth="29040" windowHeight="15840" activeTab="1" xr2:uid="{E07B5F02-8B00-4EF6-A9AD-F6259093ED5D}"/>
  </bookViews>
  <sheets>
    <sheet name="SUMMARY" sheetId="27" r:id="rId1"/>
    <sheet name="NCR MLC" sheetId="12" r:id="rId2"/>
    <sheet name="Toril" sheetId="18" state="hidden" r:id="rId3"/>
  </sheets>
  <definedNames>
    <definedName name="Excel_BuiltIn_Print_Area_2" localSheetId="1">#REF!</definedName>
    <definedName name="Excel_BuiltIn_Print_Area_2" localSheetId="2">#REF!</definedName>
    <definedName name="Excel_BuiltIn_Print_Area_2">#REF!</definedName>
    <definedName name="_xlnm.Print_Area" localSheetId="1">'NCR MLC'!$A$1:$K$71</definedName>
    <definedName name="_xlnm.Print_Area" localSheetId="2">Toril!$A$1:$I$59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2" l="1"/>
  <c r="J36" i="12"/>
  <c r="I36" i="12"/>
  <c r="F15" i="12"/>
  <c r="G15" i="12"/>
  <c r="G16" i="12" s="1"/>
  <c r="G21" i="12" s="1"/>
  <c r="F17" i="12"/>
  <c r="G17" i="12"/>
  <c r="F18" i="12"/>
  <c r="G18" i="12"/>
  <c r="G20" i="12"/>
  <c r="F24" i="12"/>
  <c r="G24" i="12"/>
  <c r="G27" i="12" l="1"/>
  <c r="G30" i="12" s="1"/>
  <c r="G33" i="12" s="1"/>
  <c r="F21" i="12"/>
  <c r="G60" i="12"/>
  <c r="F60" i="12"/>
  <c r="F27" i="12"/>
  <c r="F30" i="12" s="1"/>
  <c r="F33" i="12" s="1"/>
  <c r="F36" i="12" l="1"/>
  <c r="F38" i="12" s="1"/>
  <c r="F40" i="12"/>
  <c r="G36" i="12"/>
  <c r="G38" i="12" s="1"/>
  <c r="G40" i="12"/>
  <c r="E18" i="18" l="1"/>
  <c r="E17" i="18"/>
  <c r="E15" i="18"/>
  <c r="F17" i="18"/>
  <c r="F15" i="18"/>
  <c r="F16" i="18" s="1"/>
  <c r="F18" i="18"/>
  <c r="F21" i="18" l="1"/>
  <c r="H69" i="18" l="1"/>
  <c r="F27" i="18"/>
  <c r="E27" i="18"/>
  <c r="J49" i="18"/>
  <c r="J48" i="18"/>
  <c r="J47" i="18"/>
  <c r="E49" i="18"/>
  <c r="I49" i="18" l="1"/>
  <c r="I48" i="18"/>
  <c r="E48" i="18"/>
  <c r="J50" i="18"/>
  <c r="J52" i="18" s="1"/>
  <c r="J46" i="18"/>
  <c r="I46" i="18"/>
  <c r="I47" i="18" s="1"/>
  <c r="C46" i="18"/>
  <c r="E47" i="18" s="1"/>
  <c r="J24" i="18"/>
  <c r="I24" i="18"/>
  <c r="H24" i="18"/>
  <c r="F24" i="18"/>
  <c r="E24" i="18"/>
  <c r="E30" i="18" s="1"/>
  <c r="H21" i="18"/>
  <c r="H59" i="18" s="1"/>
  <c r="F59" i="18"/>
  <c r="E21" i="18"/>
  <c r="F20" i="18"/>
  <c r="J18" i="18"/>
  <c r="I18" i="18"/>
  <c r="H18" i="18"/>
  <c r="J17" i="18"/>
  <c r="I17" i="18"/>
  <c r="H17" i="18"/>
  <c r="J15" i="18"/>
  <c r="I15" i="18"/>
  <c r="H15" i="18"/>
  <c r="H27" i="18" s="1"/>
  <c r="E33" i="18" l="1"/>
  <c r="E36" i="18" s="1"/>
  <c r="E38" i="18" s="1"/>
  <c r="I50" i="18"/>
  <c r="I52" i="18" s="1"/>
  <c r="H30" i="18"/>
  <c r="H33" i="18" s="1"/>
  <c r="I21" i="18"/>
  <c r="F30" i="18"/>
  <c r="F33" i="18" s="1"/>
  <c r="I27" i="18"/>
  <c r="I30" i="18" s="1"/>
  <c r="I33" i="18" s="1"/>
  <c r="J27" i="18"/>
  <c r="J30" i="18" s="1"/>
  <c r="I16" i="18"/>
  <c r="J16" i="18"/>
  <c r="J21" i="18" s="1"/>
  <c r="E50" i="18"/>
  <c r="E52" i="18" s="1"/>
  <c r="E59" i="18"/>
  <c r="J59" i="18" l="1"/>
  <c r="I36" i="18"/>
  <c r="I38" i="18" s="1"/>
  <c r="I40" i="18"/>
  <c r="I65" i="18" s="1"/>
  <c r="I67" i="18" s="1"/>
  <c r="I59" i="18"/>
  <c r="E40" i="18"/>
  <c r="F36" i="18"/>
  <c r="F38" i="18" s="1"/>
  <c r="H36" i="18"/>
  <c r="H38" i="18" s="1"/>
  <c r="J33" i="18"/>
  <c r="H40" i="18" l="1"/>
  <c r="H65" i="18" s="1"/>
  <c r="H67" i="18" s="1"/>
  <c r="F40" i="18"/>
  <c r="J36" i="18"/>
  <c r="J38" i="18" s="1"/>
  <c r="J40" i="18" l="1"/>
  <c r="J65" i="18" s="1"/>
  <c r="J67" i="18" s="1"/>
  <c r="K47" i="12" l="1"/>
  <c r="K50" i="12" s="1"/>
  <c r="J47" i="12"/>
  <c r="J50" i="12" s="1"/>
  <c r="D47" i="12"/>
  <c r="K24" i="12"/>
  <c r="J24" i="12"/>
  <c r="I24" i="12"/>
  <c r="K18" i="12"/>
  <c r="J18" i="12"/>
  <c r="I18" i="12"/>
  <c r="K17" i="12"/>
  <c r="J17" i="12"/>
  <c r="I17" i="12"/>
  <c r="K15" i="12"/>
  <c r="J15" i="12"/>
  <c r="I15" i="12"/>
  <c r="I27" i="12" s="1"/>
  <c r="F50" i="12" l="1"/>
  <c r="F48" i="12"/>
  <c r="F49" i="12"/>
  <c r="K48" i="12"/>
  <c r="J48" i="12"/>
  <c r="I30" i="12"/>
  <c r="J16" i="12"/>
  <c r="J27" i="12"/>
  <c r="J30" i="12" s="1"/>
  <c r="J49" i="12"/>
  <c r="K49" i="12"/>
  <c r="K16" i="12"/>
  <c r="K27" i="12"/>
  <c r="K30" i="12" s="1"/>
  <c r="K51" i="12" l="1"/>
  <c r="K53" i="12" s="1"/>
  <c r="K20" i="12" s="1"/>
  <c r="F51" i="12"/>
  <c r="F53" i="12" s="1"/>
  <c r="I20" i="12"/>
  <c r="I21" i="12" s="1"/>
  <c r="I33" i="12" s="1"/>
  <c r="I38" i="12" s="1"/>
  <c r="K21" i="12"/>
  <c r="K60" i="12" s="1"/>
  <c r="J51" i="12"/>
  <c r="J53" i="12" s="1"/>
  <c r="J20" i="12" s="1"/>
  <c r="J21" i="12" s="1"/>
  <c r="J33" i="12" s="1"/>
  <c r="K33" i="12" l="1"/>
  <c r="I60" i="12"/>
  <c r="J60" i="12"/>
  <c r="I40" i="12"/>
  <c r="J38" i="12"/>
  <c r="K38" i="12"/>
  <c r="I66" i="12" l="1"/>
  <c r="I68" i="12" s="1"/>
  <c r="J40" i="12"/>
  <c r="K40" i="12"/>
  <c r="K66" i="12" l="1"/>
  <c r="K68" i="12" s="1"/>
  <c r="J66" i="12"/>
  <c r="J68" i="12" s="1"/>
  <c r="K70" i="12" l="1"/>
  <c r="C5" i="27" s="1"/>
</calcChain>
</file>

<file path=xl/sharedStrings.xml><?xml version="1.0" encoding="utf-8"?>
<sst xmlns="http://schemas.openxmlformats.org/spreadsheetml/2006/main" count="151" uniqueCount="73">
  <si>
    <t>PROVISION OF SECURITY SERVICES IN PMO ASSETS CY 2024</t>
  </si>
  <si>
    <t>Lot 1 (Mile Long Complex)</t>
  </si>
  <si>
    <t>Item / Service</t>
  </si>
  <si>
    <t>Total Cost Per Year</t>
  </si>
  <si>
    <t>(Php)</t>
  </si>
  <si>
    <t>Provision of Security Services for Mile Long Complex (MLC), Makati City [NCR]</t>
  </si>
  <si>
    <t>TOTAL AMOUNT IN WORDS:</t>
  </si>
  <si>
    <t>Submitted by:</t>
  </si>
  <si>
    <t>(Signature over printed name of authorized signatory)</t>
  </si>
  <si>
    <t>Designation/Position Title:</t>
  </si>
  <si>
    <t>WAGE ORDER NO. NCR-24</t>
  </si>
  <si>
    <t>National Capital Region</t>
  </si>
  <si>
    <t>Effective on 16 July 2023</t>
  </si>
  <si>
    <t>NCR - 8 hours</t>
  </si>
  <si>
    <t>NCR -12 hours</t>
  </si>
  <si>
    <t>Days worked per week</t>
  </si>
  <si>
    <t>6 days</t>
  </si>
  <si>
    <t>No. of Days/year</t>
  </si>
  <si>
    <t>8 hours work/day</t>
  </si>
  <si>
    <t>12 hours work/day</t>
  </si>
  <si>
    <t>Day Shift</t>
  </si>
  <si>
    <t>Night Shift</t>
  </si>
  <si>
    <t>Relievers</t>
  </si>
  <si>
    <t>Amount to Guard</t>
  </si>
  <si>
    <t>Daily Wage (DW)</t>
  </si>
  <si>
    <t>P</t>
  </si>
  <si>
    <r>
      <t xml:space="preserve">Ave. Pay/Month </t>
    </r>
    <r>
      <rPr>
        <i/>
        <sz val="12"/>
        <color theme="1"/>
        <rFont val="Times New Roman"/>
        <family val="1"/>
      </rPr>
      <t>(DW x No. of Days per yr/12)</t>
    </r>
  </si>
  <si>
    <r>
      <t xml:space="preserve">Night Differential  </t>
    </r>
    <r>
      <rPr>
        <i/>
        <sz val="12"/>
        <color theme="1"/>
        <rFont val="Times New Roman"/>
        <family val="1"/>
      </rPr>
      <t>(Ave. Pay/mo. X 10% x 1/3)</t>
    </r>
  </si>
  <si>
    <r>
      <t xml:space="preserve">13 Month Pay  </t>
    </r>
    <r>
      <rPr>
        <i/>
        <sz val="12"/>
        <color theme="1"/>
        <rFont val="Times New Roman"/>
        <family val="1"/>
      </rPr>
      <t>(DW X 365 /12 /12 )</t>
    </r>
  </si>
  <si>
    <r>
      <t xml:space="preserve">5 Days Incentive Pay  </t>
    </r>
    <r>
      <rPr>
        <i/>
        <sz val="12"/>
        <color theme="1"/>
        <rFont val="Times New Roman"/>
        <family val="1"/>
      </rPr>
      <t>(DW x 5 / 12)</t>
    </r>
  </si>
  <si>
    <r>
      <t xml:space="preserve">Uniform Allowance </t>
    </r>
    <r>
      <rPr>
        <i/>
        <sz val="12"/>
        <color theme="1"/>
        <rFont val="Times New Roman"/>
        <family val="1"/>
      </rPr>
      <t>(R.A. 5487)</t>
    </r>
  </si>
  <si>
    <t xml:space="preserve">Overtime Pay </t>
  </si>
  <si>
    <t>Amount to Government in Favor of Guards</t>
  </si>
  <si>
    <t>Retirement Benefit (RA 7641) (DW x 22.5/12)</t>
  </si>
  <si>
    <r>
      <t xml:space="preserve">SSS Premium </t>
    </r>
    <r>
      <rPr>
        <sz val="11"/>
        <color theme="1"/>
        <rFont val="Times New Roman"/>
        <family val="1"/>
      </rPr>
      <t>(effective January 2023)</t>
    </r>
  </si>
  <si>
    <t>SSS WISP</t>
  </si>
  <si>
    <t>Philhealth Contribution (PHIC Circular 2020-0005)</t>
  </si>
  <si>
    <t>State Insurance Fund</t>
  </si>
  <si>
    <t>Pag-ibig Fund</t>
  </si>
  <si>
    <t>A. TOTAL AMOUNT TO GUARD &amp; GOV'T.</t>
  </si>
  <si>
    <t>B. AGENCY FEE</t>
  </si>
  <si>
    <r>
      <t>Administrative Overhead and Margin</t>
    </r>
    <r>
      <rPr>
        <i/>
        <sz val="12"/>
        <color theme="1"/>
        <rFont val="Times New Roman"/>
        <family val="1"/>
      </rPr>
      <t xml:space="preserve"> (Min. 20%, Max 24%</t>
    </r>
    <r>
      <rPr>
        <sz val="12"/>
        <color theme="1"/>
        <rFont val="Times New Roman"/>
        <family val="1"/>
      </rPr>
      <t>)</t>
    </r>
  </si>
  <si>
    <r>
      <t xml:space="preserve">C. VALUE ADDED TAX </t>
    </r>
    <r>
      <rPr>
        <sz val="12"/>
        <color theme="1"/>
        <rFont val="Times New Roman"/>
        <family val="1"/>
      </rPr>
      <t>(Agency fee x 12% VAT-RMC-39-2007)</t>
    </r>
  </si>
  <si>
    <t>AVERAGE CONTRACT RATE</t>
  </si>
  <si>
    <t>TOTAL COST FOR ONE (1) YEAR ASSIGNED IN NCR</t>
  </si>
  <si>
    <t>Overtime Computation (Day Shift)</t>
  </si>
  <si>
    <t>Overtime Computation (Night Shift)</t>
  </si>
  <si>
    <t>Rate per hour</t>
  </si>
  <si>
    <t>Ordinary Working Days (HR x 125% x 295 x 4)</t>
  </si>
  <si>
    <t>Ordinary WD (HR x 137.5% x 295 x 4)</t>
  </si>
  <si>
    <t>Regular Holidays (HR x 260% X 12 x 4)</t>
  </si>
  <si>
    <t>RD (HR x 286% x 12 x 4)</t>
  </si>
  <si>
    <t>Special Days (HR x 169% x 6 x 4)</t>
  </si>
  <si>
    <t>SD (HR x 185.9% x 6 x 4)</t>
  </si>
  <si>
    <t>Divided by 12</t>
  </si>
  <si>
    <t>Divided by</t>
  </si>
  <si>
    <t>Monthly overtime pay (4 hours/day)</t>
  </si>
  <si>
    <t>Monthly OT</t>
  </si>
  <si>
    <t xml:space="preserve">Remark(s) </t>
  </si>
  <si>
    <t>Changed the rate for special days since no one should work</t>
  </si>
  <si>
    <t>on a rest day.</t>
  </si>
  <si>
    <t>Basis for SSS (Amount to Guard less 13th month pay)</t>
  </si>
  <si>
    <t xml:space="preserve">No. of Guards To be Assigned </t>
  </si>
  <si>
    <t>Total Average Contract Rate Per Month</t>
  </si>
  <si>
    <t>Total for 1 Year (MLC)</t>
  </si>
  <si>
    <t>WAGE ORDER NO. RB XI-21</t>
  </si>
  <si>
    <t>Davao Region</t>
  </si>
  <si>
    <t>Effective on 19 June 2022</t>
  </si>
  <si>
    <t>Toril - 8 hours</t>
  </si>
  <si>
    <t>Toril -12 hours</t>
  </si>
  <si>
    <t>TOTAL COST FOR ONE (1) YEAR ASSIGNED IN REGION XI (Toril, Davao Region)</t>
  </si>
  <si>
    <t xml:space="preserve">                                                                                                            </t>
  </si>
  <si>
    <t>Total for 1 Year (Toril, Davao City)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</si>
</sst>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4" fontId="3" fillId="0" borderId="0" xfId="0" applyNumberFormat="1" applyFont="1" applyProtection="1">
      <protection locked="0"/>
    </xf>
    <xf numFmtId="4" fontId="3" fillId="0" borderId="2" xfId="0" applyNumberFormat="1" applyFont="1" applyBorder="1" applyProtection="1">
      <protection locked="0"/>
    </xf>
    <xf numFmtId="0" fontId="2" fillId="0" borderId="0" xfId="0" applyFont="1"/>
    <xf numFmtId="43" fontId="3" fillId="0" borderId="0" xfId="2" applyFont="1"/>
    <xf numFmtId="43" fontId="3" fillId="0" borderId="0" xfId="2" applyFont="1" applyAlignment="1">
      <alignment horizontal="center"/>
    </xf>
    <xf numFmtId="43" fontId="3" fillId="0" borderId="0" xfId="0" applyNumberFormat="1" applyFont="1"/>
    <xf numFmtId="2" fontId="3" fillId="0" borderId="0" xfId="0" applyNumberFormat="1" applyFont="1"/>
    <xf numFmtId="43" fontId="3" fillId="0" borderId="1" xfId="2" applyFont="1" applyBorder="1"/>
    <xf numFmtId="43" fontId="3" fillId="0" borderId="0" xfId="2" applyFont="1" applyBorder="1" applyAlignment="1">
      <alignment horizontal="center"/>
    </xf>
    <xf numFmtId="164" fontId="3" fillId="0" borderId="1" xfId="3" applyFont="1" applyBorder="1"/>
    <xf numFmtId="43" fontId="3" fillId="0" borderId="0" xfId="0" applyNumberFormat="1" applyFont="1" applyAlignment="1">
      <alignment horizontal="center"/>
    </xf>
    <xf numFmtId="43" fontId="5" fillId="0" borderId="0" xfId="2" applyFont="1"/>
    <xf numFmtId="43" fontId="5" fillId="0" borderId="1" xfId="2" applyFont="1" applyBorder="1"/>
    <xf numFmtId="43" fontId="5" fillId="0" borderId="0" xfId="0" applyNumberFormat="1" applyFont="1"/>
    <xf numFmtId="164" fontId="2" fillId="0" borderId="0" xfId="0" applyNumberFormat="1" applyFont="1"/>
    <xf numFmtId="43" fontId="2" fillId="0" borderId="0" xfId="2" applyFont="1"/>
    <xf numFmtId="43" fontId="2" fillId="0" borderId="0" xfId="2" applyFont="1" applyAlignment="1">
      <alignment horizontal="center"/>
    </xf>
    <xf numFmtId="43" fontId="2" fillId="0" borderId="2" xfId="2" applyFont="1" applyBorder="1"/>
    <xf numFmtId="164" fontId="2" fillId="0" borderId="2" xfId="0" applyNumberFormat="1" applyFont="1" applyBorder="1"/>
    <xf numFmtId="164" fontId="3" fillId="0" borderId="0" xfId="3" applyFont="1"/>
    <xf numFmtId="43" fontId="3" fillId="0" borderId="3" xfId="0" applyNumberFormat="1" applyFont="1" applyBorder="1"/>
    <xf numFmtId="0" fontId="3" fillId="0" borderId="1" xfId="0" applyFont="1" applyBorder="1"/>
    <xf numFmtId="43" fontId="2" fillId="0" borderId="4" xfId="0" applyNumberFormat="1" applyFont="1" applyBorder="1"/>
    <xf numFmtId="43" fontId="3" fillId="0" borderId="2" xfId="2" applyFont="1" applyBorder="1"/>
    <xf numFmtId="43" fontId="3" fillId="0" borderId="2" xfId="2" applyFont="1" applyBorder="1" applyAlignment="1">
      <alignment horizontal="center"/>
    </xf>
    <xf numFmtId="43" fontId="3" fillId="0" borderId="2" xfId="0" applyNumberFormat="1" applyFont="1" applyBorder="1"/>
    <xf numFmtId="4" fontId="3" fillId="0" borderId="0" xfId="0" applyNumberFormat="1" applyFont="1"/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9" fontId="3" fillId="0" borderId="7" xfId="4" applyFont="1" applyBorder="1" applyAlignment="1" applyProtection="1">
      <alignment wrapText="1"/>
      <protection locked="0"/>
    </xf>
    <xf numFmtId="43" fontId="3" fillId="0" borderId="0" xfId="2" applyFont="1" applyProtection="1"/>
    <xf numFmtId="43" fontId="3" fillId="0" borderId="0" xfId="2" applyFont="1" applyAlignment="1" applyProtection="1">
      <alignment horizontal="center"/>
    </xf>
    <xf numFmtId="43" fontId="3" fillId="0" borderId="1" xfId="2" applyFont="1" applyBorder="1" applyProtection="1"/>
    <xf numFmtId="43" fontId="3" fillId="0" borderId="0" xfId="2" applyFont="1" applyBorder="1" applyAlignment="1" applyProtection="1">
      <alignment horizontal="center"/>
    </xf>
    <xf numFmtId="164" fontId="3" fillId="0" borderId="1" xfId="3" applyFont="1" applyBorder="1" applyProtection="1"/>
    <xf numFmtId="43" fontId="5" fillId="0" borderId="0" xfId="2" applyFont="1" applyProtection="1"/>
    <xf numFmtId="43" fontId="5" fillId="0" borderId="1" xfId="2" applyFont="1" applyBorder="1" applyProtection="1"/>
    <xf numFmtId="43" fontId="2" fillId="0" borderId="0" xfId="2" applyFont="1" applyProtection="1"/>
    <xf numFmtId="43" fontId="2" fillId="0" borderId="0" xfId="2" applyFont="1" applyAlignment="1" applyProtection="1">
      <alignment horizontal="center"/>
    </xf>
    <xf numFmtId="43" fontId="2" fillId="0" borderId="2" xfId="2" applyFont="1" applyBorder="1" applyProtection="1"/>
    <xf numFmtId="43" fontId="2" fillId="0" borderId="0" xfId="2" applyFont="1" applyBorder="1" applyProtection="1"/>
    <xf numFmtId="164" fontId="3" fillId="0" borderId="0" xfId="3" applyFont="1" applyProtection="1"/>
    <xf numFmtId="43" fontId="3" fillId="0" borderId="2" xfId="2" applyFont="1" applyBorder="1" applyProtection="1"/>
    <xf numFmtId="43" fontId="3" fillId="0" borderId="2" xfId="2" applyFont="1" applyBorder="1" applyAlignment="1" applyProtection="1">
      <alignment horizontal="center"/>
    </xf>
    <xf numFmtId="0" fontId="3" fillId="0" borderId="0" xfId="1" applyNumberFormat="1" applyFont="1" applyAlignment="1" applyProtection="1">
      <alignment horizontal="center"/>
    </xf>
    <xf numFmtId="43" fontId="3" fillId="0" borderId="0" xfId="1" applyFont="1" applyAlignment="1" applyProtection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3" fontId="2" fillId="0" borderId="2" xfId="0" applyNumberFormat="1" applyFont="1" applyBorder="1"/>
    <xf numFmtId="43" fontId="8" fillId="0" borderId="0" xfId="0" applyNumberFormat="1" applyFont="1"/>
    <xf numFmtId="43" fontId="8" fillId="0" borderId="2" xfId="0" applyNumberFormat="1" applyFont="1" applyBorder="1"/>
    <xf numFmtId="0" fontId="11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top"/>
    </xf>
    <xf numFmtId="0" fontId="14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wrapText="1"/>
      <protection locked="0"/>
    </xf>
    <xf numFmtId="0" fontId="13" fillId="0" borderId="0" xfId="0" applyFont="1" applyAlignment="1">
      <alignment horizontal="center"/>
    </xf>
  </cellXfs>
  <cellStyles count="5">
    <cellStyle name="Comma" xfId="1" builtinId="3"/>
    <cellStyle name="Comma 2" xfId="2" xr:uid="{989A1B9A-EFFD-4F4E-8DFB-A6490F43ECAD}"/>
    <cellStyle name="Comma 3" xfId="3" xr:uid="{2BA04C63-68E6-42D5-9DB1-5053FD563B9F}"/>
    <cellStyle name="Normal" xfId="0" builtinId="0"/>
    <cellStyle name="Percent" xfId="4" builtinId="5"/>
  </cellStyles>
  <dxfs count="5">
    <dxf>
      <fill>
        <patternFill>
          <bgColor theme="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CE3B-4C67-4EFD-B904-AEE9FA67863F}">
  <dimension ref="A1:C15"/>
  <sheetViews>
    <sheetView zoomScale="106" zoomScaleNormal="106" workbookViewId="0">
      <selection activeCell="B12" sqref="B12"/>
    </sheetView>
  </sheetViews>
  <sheetFormatPr defaultRowHeight="15" x14ac:dyDescent="0.25"/>
  <cols>
    <col min="1" max="1" width="3.140625" customWidth="1"/>
    <col min="2" max="2" width="77.5703125" customWidth="1"/>
    <col min="3" max="3" width="20.28515625" customWidth="1"/>
    <col min="6" max="6" width="15.7109375" bestFit="1" customWidth="1"/>
  </cols>
  <sheetData>
    <row r="1" spans="1:3" ht="15" customHeight="1" x14ac:dyDescent="0.25">
      <c r="A1" s="70" t="s">
        <v>0</v>
      </c>
      <c r="B1" s="70"/>
      <c r="C1" s="70"/>
    </row>
    <row r="2" spans="1:3" x14ac:dyDescent="0.25">
      <c r="A2" s="72" t="s">
        <v>1</v>
      </c>
      <c r="B2" s="72"/>
      <c r="C2" s="72"/>
    </row>
    <row r="3" spans="1:3" ht="18.75" customHeight="1" x14ac:dyDescent="0.25">
      <c r="A3" s="71" t="s">
        <v>2</v>
      </c>
      <c r="B3" s="71"/>
      <c r="C3" s="61" t="s">
        <v>3</v>
      </c>
    </row>
    <row r="4" spans="1:3" ht="18" customHeight="1" x14ac:dyDescent="0.25">
      <c r="A4" s="71"/>
      <c r="B4" s="71"/>
      <c r="C4" s="60" t="s">
        <v>4</v>
      </c>
    </row>
    <row r="5" spans="1:3" ht="20.100000000000001" customHeight="1" x14ac:dyDescent="0.25">
      <c r="A5" s="64">
        <v>1</v>
      </c>
      <c r="B5" s="62" t="s">
        <v>5</v>
      </c>
      <c r="C5" s="63" t="e">
        <f>'NCR MLC'!K70</f>
        <v>#VALUE!</v>
      </c>
    </row>
    <row r="7" spans="1:3" x14ac:dyDescent="0.25">
      <c r="A7" s="68" t="s">
        <v>6</v>
      </c>
      <c r="B7" s="68"/>
      <c r="C7" s="68"/>
    </row>
    <row r="8" spans="1:3" x14ac:dyDescent="0.25">
      <c r="A8" s="69"/>
      <c r="B8" s="69"/>
      <c r="C8" s="69"/>
    </row>
    <row r="9" spans="1:3" x14ac:dyDescent="0.25">
      <c r="A9" s="69"/>
      <c r="B9" s="69"/>
      <c r="C9" s="69"/>
    </row>
    <row r="11" spans="1:3" x14ac:dyDescent="0.25">
      <c r="A11" t="s">
        <v>7</v>
      </c>
    </row>
    <row r="12" spans="1:3" x14ac:dyDescent="0.25">
      <c r="B12" s="66"/>
    </row>
    <row r="13" spans="1:3" x14ac:dyDescent="0.25">
      <c r="B13" s="65" t="s">
        <v>8</v>
      </c>
    </row>
    <row r="14" spans="1:3" x14ac:dyDescent="0.25">
      <c r="A14" t="s">
        <v>9</v>
      </c>
    </row>
    <row r="15" spans="1:3" x14ac:dyDescent="0.25">
      <c r="B15" s="66"/>
    </row>
  </sheetData>
  <sheetProtection algorithmName="SHA-512" hashValue="u+u7KxrdQwv+pPAO35dmTf99TmQEisQtz+DeOZeqsY5pp0Y1Iv1sEkjWHxk34o+HBWA45uwDLs2oiq2w9Fnrlg==" saltValue="L+mbMnQAEBstAcnaM8h/fw==" spinCount="100000" sheet="1" objects="1" scenarios="1"/>
  <mergeCells count="5">
    <mergeCell ref="A7:C7"/>
    <mergeCell ref="A8:C9"/>
    <mergeCell ref="A1:C1"/>
    <mergeCell ref="A3:B4"/>
    <mergeCell ref="A2:C2"/>
  </mergeCells>
  <conditionalFormatting sqref="A8:C9">
    <cfRule type="containsBlanks" dxfId="4" priority="3">
      <formula>LEN(TRIM(A8))=0</formula>
    </cfRule>
    <cfRule type="containsBlanks" dxfId="3" priority="4">
      <formula>LEN(TRIM(A8))=0</formula>
    </cfRule>
  </conditionalFormatting>
  <conditionalFormatting sqref="B12">
    <cfRule type="containsBlanks" dxfId="2" priority="2">
      <formula>LEN(TRIM(B12))=0</formula>
    </cfRule>
  </conditionalFormatting>
  <conditionalFormatting sqref="B15">
    <cfRule type="containsBlanks" dxfId="1" priority="1">
      <formula>LEN(TRIM(B15))=0</formula>
    </cfRule>
  </conditionalFormatting>
  <printOptions horizontalCentered="1"/>
  <pageMargins left="0.39370078740157483" right="0.19685039370078741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5102-5FE6-4228-8BC9-2F1BC39456F2}">
  <sheetPr>
    <pageSetUpPr fitToPage="1"/>
  </sheetPr>
  <dimension ref="A2:Q71"/>
  <sheetViews>
    <sheetView tabSelected="1" topLeftCell="A26" zoomScale="95" zoomScaleNormal="95" workbookViewId="0">
      <selection activeCell="I67" sqref="I67"/>
    </sheetView>
  </sheetViews>
  <sheetFormatPr defaultColWidth="9.140625" defaultRowHeight="15.75" x14ac:dyDescent="0.25"/>
  <cols>
    <col min="1" max="1" width="6.140625" style="1" customWidth="1"/>
    <col min="2" max="2" width="27.140625" style="1" customWidth="1"/>
    <col min="3" max="3" width="31.85546875" style="1" customWidth="1"/>
    <col min="4" max="4" width="7.7109375" style="1" customWidth="1"/>
    <col min="5" max="5" width="4.140625" style="1" customWidth="1"/>
    <col min="6" max="6" width="18.140625" style="1" hidden="1" customWidth="1"/>
    <col min="7" max="7" width="18" style="1" hidden="1" customWidth="1"/>
    <col min="8" max="8" width="3.42578125" style="2" hidden="1" customWidth="1"/>
    <col min="9" max="9" width="20.42578125" style="1" customWidth="1"/>
    <col min="10" max="10" width="21.140625" style="1" customWidth="1"/>
    <col min="11" max="11" width="25.85546875" style="1" customWidth="1"/>
    <col min="12" max="12" width="16.5703125" style="1" customWidth="1"/>
    <col min="13" max="14" width="9.140625" style="1"/>
    <col min="15" max="15" width="12.42578125" style="1" bestFit="1" customWidth="1"/>
    <col min="16" max="16" width="11.5703125" style="1" customWidth="1"/>
    <col min="17" max="17" width="14.42578125" style="1" bestFit="1" customWidth="1"/>
    <col min="18" max="16384" width="9.140625" style="1"/>
  </cols>
  <sheetData>
    <row r="2" spans="1:11" x14ac:dyDescent="0.25">
      <c r="A2" s="74" t="s">
        <v>10</v>
      </c>
      <c r="B2" s="74"/>
      <c r="C2" s="74"/>
      <c r="D2" s="74"/>
      <c r="E2" s="74"/>
      <c r="F2" s="74"/>
      <c r="G2" s="74"/>
      <c r="H2" s="74"/>
      <c r="I2" s="74"/>
      <c r="J2" s="74"/>
    </row>
    <row r="3" spans="1:11" x14ac:dyDescent="0.25">
      <c r="A3" s="75" t="s">
        <v>11</v>
      </c>
      <c r="B3" s="75"/>
      <c r="C3" s="75"/>
      <c r="D3" s="75"/>
      <c r="E3" s="75"/>
      <c r="F3" s="75"/>
      <c r="G3" s="75"/>
      <c r="H3" s="75"/>
      <c r="I3" s="75"/>
      <c r="J3" s="75"/>
    </row>
    <row r="4" spans="1:11" x14ac:dyDescent="0.25">
      <c r="A4" s="75" t="s">
        <v>12</v>
      </c>
      <c r="B4" s="75"/>
      <c r="C4" s="75"/>
      <c r="D4" s="75"/>
      <c r="E4" s="75"/>
      <c r="F4" s="75"/>
      <c r="G4" s="75"/>
      <c r="H4" s="75"/>
      <c r="I4" s="75"/>
      <c r="J4" s="75"/>
    </row>
    <row r="6" spans="1:11" ht="18" customHeight="1" x14ac:dyDescent="0.25">
      <c r="F6" s="74" t="s">
        <v>13</v>
      </c>
      <c r="G6" s="74"/>
      <c r="H6" s="8"/>
      <c r="I6" s="74" t="s">
        <v>14</v>
      </c>
      <c r="J6" s="74"/>
      <c r="K6" s="74"/>
    </row>
    <row r="7" spans="1:11" ht="18" customHeight="1" x14ac:dyDescent="0.25">
      <c r="A7" s="1" t="s">
        <v>15</v>
      </c>
      <c r="F7" s="2" t="s">
        <v>16</v>
      </c>
      <c r="G7" s="2" t="s">
        <v>16</v>
      </c>
      <c r="I7" s="2" t="s">
        <v>16</v>
      </c>
      <c r="J7" s="2" t="s">
        <v>16</v>
      </c>
      <c r="K7" s="2" t="s">
        <v>16</v>
      </c>
    </row>
    <row r="8" spans="1:11" ht="18" customHeight="1" x14ac:dyDescent="0.25">
      <c r="A8" s="1" t="s">
        <v>17</v>
      </c>
      <c r="F8" s="2">
        <v>313</v>
      </c>
      <c r="G8" s="2">
        <v>313</v>
      </c>
      <c r="I8" s="2">
        <v>313</v>
      </c>
      <c r="J8" s="2">
        <v>313</v>
      </c>
      <c r="K8" s="2">
        <v>313</v>
      </c>
    </row>
    <row r="9" spans="1:11" ht="18" customHeight="1" x14ac:dyDescent="0.25">
      <c r="F9" s="2" t="s">
        <v>18</v>
      </c>
      <c r="G9" s="2" t="s">
        <v>18</v>
      </c>
      <c r="I9" s="2" t="s">
        <v>19</v>
      </c>
      <c r="J9" s="2" t="s">
        <v>19</v>
      </c>
      <c r="K9" s="2" t="s">
        <v>19</v>
      </c>
    </row>
    <row r="10" spans="1:11" ht="18" customHeight="1" x14ac:dyDescent="0.25">
      <c r="F10" s="2" t="s">
        <v>20</v>
      </c>
      <c r="G10" s="2" t="s">
        <v>21</v>
      </c>
      <c r="I10" s="2" t="s">
        <v>20</v>
      </c>
      <c r="J10" s="2" t="s">
        <v>21</v>
      </c>
      <c r="K10" s="2" t="s">
        <v>22</v>
      </c>
    </row>
    <row r="11" spans="1:11" ht="18" customHeight="1" x14ac:dyDescent="0.25"/>
    <row r="12" spans="1:11" ht="18" customHeight="1" x14ac:dyDescent="0.25">
      <c r="A12" s="11" t="s">
        <v>23</v>
      </c>
    </row>
    <row r="13" spans="1:11" ht="18" customHeight="1" x14ac:dyDescent="0.25">
      <c r="A13" s="1" t="s">
        <v>24</v>
      </c>
      <c r="E13" s="2" t="s">
        <v>25</v>
      </c>
      <c r="F13" s="39">
        <v>610</v>
      </c>
      <c r="G13" s="39">
        <v>610</v>
      </c>
      <c r="H13" s="2" t="s">
        <v>25</v>
      </c>
      <c r="I13" s="39">
        <v>610</v>
      </c>
      <c r="J13" s="39">
        <v>610</v>
      </c>
      <c r="K13" s="39">
        <v>610</v>
      </c>
    </row>
    <row r="14" spans="1:11" ht="18" customHeight="1" x14ac:dyDescent="0.25"/>
    <row r="15" spans="1:11" x14ac:dyDescent="0.25">
      <c r="A15" s="1" t="s">
        <v>26</v>
      </c>
      <c r="F15" s="39">
        <f>ROUND((F13*F8/12),2)</f>
        <v>15910.83</v>
      </c>
      <c r="G15" s="39">
        <f>ROUND((G13*G8/12),2)</f>
        <v>15910.83</v>
      </c>
      <c r="H15" s="40"/>
      <c r="I15" s="39">
        <f>ROUND((I13*I8/12),2)</f>
        <v>15910.83</v>
      </c>
      <c r="J15" s="39">
        <f>ROUND((J13*J8/12),2)</f>
        <v>15910.83</v>
      </c>
      <c r="K15" s="39">
        <f>ROUND((K13*K8/12),2)</f>
        <v>15910.83</v>
      </c>
    </row>
    <row r="16" spans="1:11" ht="19.5" customHeight="1" x14ac:dyDescent="0.25">
      <c r="A16" s="1" t="s">
        <v>27</v>
      </c>
      <c r="F16" s="39">
        <v>0</v>
      </c>
      <c r="G16" s="39">
        <f>G15*10%*1/3</f>
        <v>530.36099999999999</v>
      </c>
      <c r="H16" s="40"/>
      <c r="I16" s="39">
        <v>0</v>
      </c>
      <c r="J16" s="39">
        <f>ROUND(+J15*10%*1/2,2)</f>
        <v>795.54</v>
      </c>
      <c r="K16" s="39">
        <f>ROUND(+K15*10%*1/2,2)</f>
        <v>795.54</v>
      </c>
    </row>
    <row r="17" spans="1:17" ht="18" customHeight="1" x14ac:dyDescent="0.25">
      <c r="A17" s="1" t="s">
        <v>28</v>
      </c>
      <c r="F17" s="39">
        <f>ROUND((F13*365/12/12),2)</f>
        <v>1546.18</v>
      </c>
      <c r="G17" s="39">
        <f>ROUND((G13*365/12/12),2)</f>
        <v>1546.18</v>
      </c>
      <c r="H17" s="40"/>
      <c r="I17" s="39">
        <f>ROUND((I13*365/12/12),2)</f>
        <v>1546.18</v>
      </c>
      <c r="J17" s="39">
        <f>ROUND((J13*365/12/12),2)</f>
        <v>1546.18</v>
      </c>
      <c r="K17" s="39">
        <f>ROUND((K13*365/12/12),2)</f>
        <v>1546.18</v>
      </c>
    </row>
    <row r="18" spans="1:17" ht="18" customHeight="1" x14ac:dyDescent="0.25">
      <c r="A18" s="1" t="s">
        <v>29</v>
      </c>
      <c r="F18" s="39">
        <f>+F13*(5/12)</f>
        <v>254.16666666666669</v>
      </c>
      <c r="G18" s="39">
        <f>+G13*(5/12)</f>
        <v>254.16666666666669</v>
      </c>
      <c r="H18" s="40"/>
      <c r="I18" s="14">
        <f>ROUND(I13*(5/12),2)</f>
        <v>254.17</v>
      </c>
      <c r="J18" s="14">
        <f>ROUND(J13*(5/12),2)</f>
        <v>254.17</v>
      </c>
      <c r="K18" s="14">
        <f>ROUND(K13*(5/12),2)</f>
        <v>254.17</v>
      </c>
    </row>
    <row r="19" spans="1:17" ht="18" customHeight="1" x14ac:dyDescent="0.25">
      <c r="A19" s="1" t="s">
        <v>30</v>
      </c>
      <c r="F19" s="39">
        <v>100</v>
      </c>
      <c r="G19" s="39">
        <v>100</v>
      </c>
      <c r="H19" s="40"/>
      <c r="I19" s="15">
        <v>100</v>
      </c>
      <c r="J19" s="39">
        <v>100</v>
      </c>
      <c r="K19" s="39">
        <v>100</v>
      </c>
    </row>
    <row r="20" spans="1:17" ht="21" customHeight="1" x14ac:dyDescent="0.25">
      <c r="A20" s="1" t="s">
        <v>31</v>
      </c>
      <c r="F20" s="41">
        <v>0</v>
      </c>
      <c r="G20" s="41">
        <f>0*377/12</f>
        <v>0</v>
      </c>
      <c r="H20" s="42"/>
      <c r="I20" s="43">
        <f>+F53</f>
        <v>10423.120833333332</v>
      </c>
      <c r="J20" s="43">
        <f>+J53</f>
        <v>11465.433333333334</v>
      </c>
      <c r="K20" s="43">
        <f>+K53</f>
        <v>11465.433333333334</v>
      </c>
    </row>
    <row r="21" spans="1:17" ht="18" customHeight="1" x14ac:dyDescent="0.25">
      <c r="F21" s="14">
        <f>SUM(F15:F20)</f>
        <v>17811.176666666666</v>
      </c>
      <c r="G21" s="14">
        <f>SUM(G15:G20)</f>
        <v>18341.537666666667</v>
      </c>
      <c r="H21" s="19"/>
      <c r="I21" s="14">
        <f>SUM(I15:I20)</f>
        <v>28234.300833333327</v>
      </c>
      <c r="J21" s="14">
        <f>SUM(J15:J20)</f>
        <v>30072.153333333332</v>
      </c>
      <c r="K21" s="14">
        <f>SUM(K15:K20)</f>
        <v>30072.153333333332</v>
      </c>
    </row>
    <row r="22" spans="1:17" ht="18" customHeight="1" x14ac:dyDescent="0.25">
      <c r="F22" s="14"/>
    </row>
    <row r="23" spans="1:17" ht="18" customHeight="1" x14ac:dyDescent="0.25">
      <c r="A23" s="11" t="s">
        <v>32</v>
      </c>
      <c r="Q23" s="7"/>
    </row>
    <row r="24" spans="1:17" ht="18" customHeight="1" x14ac:dyDescent="0.25">
      <c r="A24" s="1" t="s">
        <v>33</v>
      </c>
      <c r="F24" s="44">
        <f>+F13*22.5/12</f>
        <v>1143.75</v>
      </c>
      <c r="G24" s="44">
        <f>+G13*22.5/12</f>
        <v>1143.75</v>
      </c>
      <c r="H24" s="40"/>
      <c r="I24" s="39">
        <f>ROUND(+I13*22.5/12,2)</f>
        <v>1143.75</v>
      </c>
      <c r="J24" s="39">
        <f>ROUND(+J13*22.5/12,2)</f>
        <v>1143.75</v>
      </c>
      <c r="K24" s="39">
        <f>ROUND(+K13*22.5/12,2)</f>
        <v>1143.75</v>
      </c>
    </row>
    <row r="25" spans="1:17" ht="18" customHeight="1" x14ac:dyDescent="0.25">
      <c r="A25" s="1" t="s">
        <v>34</v>
      </c>
      <c r="F25" s="44">
        <v>1567.5</v>
      </c>
      <c r="G25" s="44">
        <v>1615</v>
      </c>
      <c r="H25" s="40"/>
      <c r="I25" s="44">
        <v>1900</v>
      </c>
      <c r="J25" s="44">
        <v>1900</v>
      </c>
      <c r="K25" s="44">
        <v>1900</v>
      </c>
      <c r="O25" s="7"/>
      <c r="P25" s="7"/>
      <c r="Q25" s="7"/>
    </row>
    <row r="26" spans="1:17" ht="18" customHeight="1" x14ac:dyDescent="0.25">
      <c r="A26" s="1" t="s">
        <v>35</v>
      </c>
      <c r="F26" s="44">
        <v>0</v>
      </c>
      <c r="G26" s="44">
        <v>0</v>
      </c>
      <c r="H26" s="40"/>
      <c r="I26" s="44">
        <v>617.5</v>
      </c>
      <c r="J26" s="44">
        <v>807.5</v>
      </c>
      <c r="K26" s="44">
        <v>807.5</v>
      </c>
    </row>
    <row r="27" spans="1:17" ht="18" customHeight="1" x14ac:dyDescent="0.25">
      <c r="A27" s="1" t="s">
        <v>36</v>
      </c>
      <c r="F27" s="44">
        <f>(F15*0.05)/2</f>
        <v>397.77075000000002</v>
      </c>
      <c r="G27" s="44">
        <f>(G15*0.05)/2</f>
        <v>397.77075000000002</v>
      </c>
      <c r="H27" s="40"/>
      <c r="I27" s="39">
        <f>ROUND((I15*0.05/2),2)</f>
        <v>397.77</v>
      </c>
      <c r="J27" s="39">
        <f t="shared" ref="J27:K27" si="0">ROUND((J15*0.05/2),2)</f>
        <v>397.77</v>
      </c>
      <c r="K27" s="39">
        <f t="shared" si="0"/>
        <v>397.77</v>
      </c>
    </row>
    <row r="28" spans="1:17" ht="18" customHeight="1" x14ac:dyDescent="0.25">
      <c r="A28" s="1" t="s">
        <v>37</v>
      </c>
      <c r="F28" s="44">
        <v>30</v>
      </c>
      <c r="G28" s="44">
        <v>30</v>
      </c>
      <c r="H28" s="40"/>
      <c r="I28" s="39">
        <v>30</v>
      </c>
      <c r="J28" s="39">
        <v>30</v>
      </c>
      <c r="K28" s="39">
        <v>30</v>
      </c>
    </row>
    <row r="29" spans="1:17" ht="18" customHeight="1" x14ac:dyDescent="0.25">
      <c r="A29" s="1" t="s">
        <v>38</v>
      </c>
      <c r="F29" s="45">
        <v>100</v>
      </c>
      <c r="G29" s="45">
        <v>100</v>
      </c>
      <c r="H29" s="42"/>
      <c r="I29" s="41">
        <v>100</v>
      </c>
      <c r="J29" s="41">
        <v>100</v>
      </c>
      <c r="K29" s="41">
        <v>100</v>
      </c>
    </row>
    <row r="30" spans="1:17" ht="18" customHeight="1" x14ac:dyDescent="0.25">
      <c r="F30" s="22">
        <f>SUM(F24:F29)</f>
        <v>3239.0207500000001</v>
      </c>
      <c r="G30" s="22">
        <f>SUM(G24:G29)</f>
        <v>3286.5207500000001</v>
      </c>
      <c r="H30" s="19"/>
      <c r="I30" s="14">
        <f>SUM(I24:I29)</f>
        <v>4189.0200000000004</v>
      </c>
      <c r="J30" s="14">
        <f>SUM(J24:J29)</f>
        <v>4379.0200000000004</v>
      </c>
      <c r="K30" s="14">
        <f>SUM(K24:K29)</f>
        <v>4379.0200000000004</v>
      </c>
    </row>
    <row r="31" spans="1:17" ht="18" customHeight="1" x14ac:dyDescent="0.25"/>
    <row r="32" spans="1:17" ht="18" customHeight="1" x14ac:dyDescent="0.25">
      <c r="F32" s="11"/>
      <c r="G32" s="11"/>
      <c r="H32" s="8"/>
    </row>
    <row r="33" spans="1:15" ht="18" customHeight="1" x14ac:dyDescent="0.25">
      <c r="A33" s="11" t="s">
        <v>39</v>
      </c>
      <c r="E33" s="2" t="s">
        <v>25</v>
      </c>
      <c r="F33" s="23">
        <f>+F21+F30</f>
        <v>21050.197416666666</v>
      </c>
      <c r="G33" s="23">
        <f>+G21+G30</f>
        <v>21628.058416666667</v>
      </c>
      <c r="H33" s="2" t="s">
        <v>25</v>
      </c>
      <c r="I33" s="23">
        <f>+I30+I21</f>
        <v>32423.320833333328</v>
      </c>
      <c r="J33" s="23">
        <f>+J30+J21</f>
        <v>34451.173333333332</v>
      </c>
      <c r="K33" s="23">
        <f>+K30+K21</f>
        <v>34451.173333333332</v>
      </c>
    </row>
    <row r="34" spans="1:15" ht="18" customHeight="1" x14ac:dyDescent="0.25"/>
    <row r="35" spans="1:15" ht="18" customHeight="1" thickBot="1" x14ac:dyDescent="0.3">
      <c r="A35" s="11" t="s">
        <v>40</v>
      </c>
    </row>
    <row r="36" spans="1:15" ht="15.75" customHeight="1" x14ac:dyDescent="0.25">
      <c r="A36" s="73" t="s">
        <v>41</v>
      </c>
      <c r="B36" s="73"/>
      <c r="C36" s="73"/>
      <c r="D36" s="38"/>
      <c r="F36" s="46">
        <f>+F33*24%</f>
        <v>5052.04738</v>
      </c>
      <c r="G36" s="46">
        <f>+G33*24%</f>
        <v>5190.7340199999999</v>
      </c>
      <c r="H36" s="47"/>
      <c r="I36" s="67" t="str">
        <f>IF(D36="","-",IF(D36&lt;20%,"ERROR",IF(D36&gt;24%,"ERROR",ROUND(I33*D36,2))))</f>
        <v>-</v>
      </c>
      <c r="J36" s="67" t="str">
        <f>IF(D36="","-",IF(D36&lt;20%,"ERROR",IF(D36&gt;24%,"ERROR",ROUND(J33*D36,2))))</f>
        <v>-</v>
      </c>
      <c r="K36" s="67" t="str">
        <f>IF(D36="","-",IF(D36&lt;20%,"ERROR",IF(D36&gt;24%,"ERROR",ROUND(K33*D36,2))))</f>
        <v>-</v>
      </c>
    </row>
    <row r="37" spans="1:15" ht="18" customHeight="1" x14ac:dyDescent="0.25">
      <c r="F37" s="11"/>
      <c r="G37" s="11"/>
      <c r="H37" s="8"/>
      <c r="I37" s="11"/>
      <c r="J37" s="11"/>
      <c r="K37" s="11"/>
    </row>
    <row r="38" spans="1:15" ht="18" customHeight="1" x14ac:dyDescent="0.25">
      <c r="A38" s="11" t="s">
        <v>42</v>
      </c>
      <c r="F38" s="46">
        <f>+F36*0.12</f>
        <v>606.2456856</v>
      </c>
      <c r="G38" s="46">
        <f>+G36*0.12</f>
        <v>622.88808239999992</v>
      </c>
      <c r="H38" s="47"/>
      <c r="I38" s="46" t="e">
        <f>ROUND(+I36*0.12,2)</f>
        <v>#VALUE!</v>
      </c>
      <c r="J38" s="46" t="e">
        <f>ROUND(+J36*0.12,2)</f>
        <v>#VALUE!</v>
      </c>
      <c r="K38" s="46" t="e">
        <f>ROUND(+K36*0.12,2)</f>
        <v>#VALUE!</v>
      </c>
    </row>
    <row r="39" spans="1:15" ht="18" customHeight="1" x14ac:dyDescent="0.25"/>
    <row r="40" spans="1:15" ht="18" customHeight="1" thickBot="1" x14ac:dyDescent="0.3">
      <c r="A40" s="11" t="s">
        <v>43</v>
      </c>
      <c r="E40" s="2" t="s">
        <v>25</v>
      </c>
      <c r="F40" s="48">
        <f>+F33+F36+F38</f>
        <v>26708.490482266665</v>
      </c>
      <c r="G40" s="48">
        <f>+G33+G36+G38</f>
        <v>27441.680519066667</v>
      </c>
      <c r="H40" s="2" t="s">
        <v>25</v>
      </c>
      <c r="I40" s="27" t="e">
        <f>ROUND(I33+I36+I38,2)</f>
        <v>#VALUE!</v>
      </c>
      <c r="J40" s="27" t="e">
        <f>ROUND(J33+J36+J38,2)</f>
        <v>#VALUE!</v>
      </c>
      <c r="K40" s="27" t="e">
        <f>ROUND(K33+K36+K38,2)</f>
        <v>#VALUE!</v>
      </c>
    </row>
    <row r="41" spans="1:15" ht="18" customHeight="1" thickTop="1" x14ac:dyDescent="0.25">
      <c r="A41" s="11"/>
      <c r="E41" s="2"/>
      <c r="F41" s="49"/>
      <c r="G41" s="49"/>
      <c r="I41" s="23"/>
      <c r="J41" s="23"/>
      <c r="K41" s="23"/>
    </row>
    <row r="42" spans="1:15" ht="18" customHeight="1" x14ac:dyDescent="0.25">
      <c r="A42" s="11" t="s">
        <v>44</v>
      </c>
    </row>
    <row r="43" spans="1:15" hidden="1" x14ac:dyDescent="0.25"/>
    <row r="44" spans="1:15" hidden="1" x14ac:dyDescent="0.25">
      <c r="F44" s="39"/>
      <c r="G44" s="39"/>
      <c r="H44" s="40"/>
    </row>
    <row r="45" spans="1:15" hidden="1" x14ac:dyDescent="0.25">
      <c r="B45" s="1" t="s">
        <v>45</v>
      </c>
      <c r="F45" s="14"/>
      <c r="G45" s="14"/>
      <c r="H45" s="19"/>
      <c r="I45" s="1" t="s">
        <v>46</v>
      </c>
    </row>
    <row r="46" spans="1:15" hidden="1" x14ac:dyDescent="0.25"/>
    <row r="47" spans="1:15" hidden="1" x14ac:dyDescent="0.25">
      <c r="B47" s="1" t="s">
        <v>47</v>
      </c>
      <c r="D47" s="19">
        <f>F13/8</f>
        <v>76.25</v>
      </c>
      <c r="I47" s="1" t="s">
        <v>47</v>
      </c>
      <c r="J47" s="19">
        <f>J13/8</f>
        <v>76.25</v>
      </c>
      <c r="K47" s="19">
        <f>K13/8</f>
        <v>76.25</v>
      </c>
    </row>
    <row r="48" spans="1:15" hidden="1" x14ac:dyDescent="0.25">
      <c r="A48" s="2">
        <v>295</v>
      </c>
      <c r="B48" s="1" t="s">
        <v>48</v>
      </c>
      <c r="F48" s="39">
        <f>ROUND((D47*1.25*A48*4),2)</f>
        <v>112468.75</v>
      </c>
      <c r="I48" s="1" t="s">
        <v>49</v>
      </c>
      <c r="J48" s="50">
        <f>ROUND((J47*1.375*A48*4),2)</f>
        <v>123715.63</v>
      </c>
      <c r="K48" s="50">
        <f>ROUND((K47*1.375*A48*4),2)</f>
        <v>123715.63</v>
      </c>
      <c r="O48" s="3"/>
    </row>
    <row r="49" spans="1:15" hidden="1" x14ac:dyDescent="0.25">
      <c r="A49" s="2">
        <v>12</v>
      </c>
      <c r="B49" s="1" t="s">
        <v>50</v>
      </c>
      <c r="F49" s="39">
        <f>ROUND((D47*2.6*A49*4),2)</f>
        <v>9516</v>
      </c>
      <c r="I49" s="1" t="s">
        <v>51</v>
      </c>
      <c r="J49" s="50">
        <f>ROUND((J47*2.86*A49*4),2)</f>
        <v>10467.6</v>
      </c>
      <c r="K49" s="50">
        <f>ROUND((K47*2.86*A49*4),2)</f>
        <v>10467.6</v>
      </c>
      <c r="O49" s="3"/>
    </row>
    <row r="50" spans="1:15" hidden="1" x14ac:dyDescent="0.25">
      <c r="A50" s="2">
        <v>6</v>
      </c>
      <c r="B50" s="1" t="s">
        <v>52</v>
      </c>
      <c r="F50" s="39">
        <f>ROUND((D47*1.69*A50*4),2)</f>
        <v>3092.7</v>
      </c>
      <c r="I50" s="1" t="s">
        <v>53</v>
      </c>
      <c r="J50" s="43">
        <f>ROUND((J47*1.859*A50*4),2)</f>
        <v>3401.97</v>
      </c>
      <c r="K50" s="43">
        <f>ROUND((K47*1.859*A50*4),2)</f>
        <v>3401.97</v>
      </c>
      <c r="O50" s="3"/>
    </row>
    <row r="51" spans="1:15" hidden="1" x14ac:dyDescent="0.25">
      <c r="F51" s="29">
        <f>SUM(F48:F50)</f>
        <v>125077.45</v>
      </c>
      <c r="J51" s="50">
        <f>SUM(J48:J50)</f>
        <v>137585.20000000001</v>
      </c>
      <c r="K51" s="50">
        <f>SUM(K48:K50)</f>
        <v>137585.20000000001</v>
      </c>
    </row>
    <row r="52" spans="1:15" hidden="1" x14ac:dyDescent="0.25">
      <c r="B52" s="1" t="s">
        <v>54</v>
      </c>
      <c r="F52" s="30">
        <v>12</v>
      </c>
      <c r="I52" s="1" t="s">
        <v>55</v>
      </c>
      <c r="J52" s="30">
        <v>12</v>
      </c>
      <c r="K52" s="30">
        <v>12</v>
      </c>
    </row>
    <row r="53" spans="1:15" ht="16.5" hidden="1" thickBot="1" x14ac:dyDescent="0.3">
      <c r="B53" s="1" t="s">
        <v>56</v>
      </c>
      <c r="F53" s="48">
        <f>F51/F52</f>
        <v>10423.120833333332</v>
      </c>
      <c r="I53" s="1" t="s">
        <v>57</v>
      </c>
      <c r="J53" s="31">
        <f>J51/J52</f>
        <v>11465.433333333334</v>
      </c>
      <c r="K53" s="31">
        <f>K51/K52</f>
        <v>11465.433333333334</v>
      </c>
    </row>
    <row r="54" spans="1:15" ht="16.5" hidden="1" thickTop="1" x14ac:dyDescent="0.25"/>
    <row r="55" spans="1:15" hidden="1" x14ac:dyDescent="0.25">
      <c r="B55" s="11" t="s">
        <v>58</v>
      </c>
      <c r="C55" s="11"/>
      <c r="F55" s="14"/>
      <c r="I55" s="11"/>
    </row>
    <row r="56" spans="1:15" ht="15" hidden="1" customHeight="1" x14ac:dyDescent="0.25">
      <c r="B56" s="1" t="s">
        <v>59</v>
      </c>
    </row>
    <row r="57" spans="1:15" hidden="1" x14ac:dyDescent="0.25">
      <c r="B57" s="1" t="s">
        <v>60</v>
      </c>
    </row>
    <row r="58" spans="1:15" hidden="1" x14ac:dyDescent="0.25"/>
    <row r="59" spans="1:15" hidden="1" x14ac:dyDescent="0.25"/>
    <row r="60" spans="1:15" ht="18" hidden="1" customHeight="1" thickBot="1" x14ac:dyDescent="0.3">
      <c r="B60" s="1" t="s">
        <v>61</v>
      </c>
      <c r="F60" s="51">
        <f>F21-F17</f>
        <v>16264.996666666666</v>
      </c>
      <c r="G60" s="51">
        <f>G21-G17</f>
        <v>16795.357666666667</v>
      </c>
      <c r="H60" s="52"/>
      <c r="I60" s="34">
        <f>I21-I17</f>
        <v>26688.120833333327</v>
      </c>
      <c r="J60" s="34">
        <f>J21-J17</f>
        <v>28525.973333333332</v>
      </c>
      <c r="K60" s="34">
        <f>K21-K17</f>
        <v>28525.973333333332</v>
      </c>
    </row>
    <row r="61" spans="1:15" ht="16.5" hidden="1" thickTop="1" x14ac:dyDescent="0.25"/>
    <row r="62" spans="1:15" hidden="1" x14ac:dyDescent="0.25"/>
    <row r="64" spans="1:15" x14ac:dyDescent="0.25">
      <c r="A64" s="1" t="s">
        <v>62</v>
      </c>
      <c r="I64" s="53">
        <v>11</v>
      </c>
      <c r="J64" s="53">
        <v>11</v>
      </c>
      <c r="K64" s="53">
        <v>4</v>
      </c>
    </row>
    <row r="65" spans="1:12" x14ac:dyDescent="0.25">
      <c r="I65" s="54"/>
      <c r="J65" s="54"/>
      <c r="K65" s="54"/>
    </row>
    <row r="66" spans="1:12" x14ac:dyDescent="0.25">
      <c r="A66" s="1" t="s">
        <v>63</v>
      </c>
      <c r="I66" s="54" t="e">
        <f>ROUND(I64*I40,2)</f>
        <v>#VALUE!</v>
      </c>
      <c r="J66" s="54" t="e">
        <f>ROUND(J64*J40,2)</f>
        <v>#VALUE!</v>
      </c>
      <c r="K66" s="54" t="e">
        <f>ROUND(K64*K40,2)</f>
        <v>#VALUE!</v>
      </c>
    </row>
    <row r="68" spans="1:12" ht="16.5" thickBot="1" x14ac:dyDescent="0.3">
      <c r="A68" s="1" t="s">
        <v>64</v>
      </c>
      <c r="F68" s="55"/>
      <c r="G68" s="55"/>
      <c r="H68" s="56"/>
      <c r="I68" s="57" t="e">
        <f>ROUND(I66*12,2)</f>
        <v>#VALUE!</v>
      </c>
      <c r="J68" s="57" t="e">
        <f>ROUND(J66*12,2)</f>
        <v>#VALUE!</v>
      </c>
      <c r="K68" s="57" t="e">
        <f>ROUND(K66*12,2)</f>
        <v>#VALUE!</v>
      </c>
      <c r="L68" s="14"/>
    </row>
    <row r="69" spans="1:12" ht="16.5" thickTop="1" x14ac:dyDescent="0.25"/>
    <row r="70" spans="1:12" ht="19.5" thickBot="1" x14ac:dyDescent="0.35">
      <c r="J70" s="58"/>
      <c r="K70" s="59" t="e">
        <f>SUM(I68:K68)</f>
        <v>#VALUE!</v>
      </c>
    </row>
    <row r="71" spans="1:12" ht="16.5" thickTop="1" x14ac:dyDescent="0.25"/>
  </sheetData>
  <sheetProtection algorithmName="SHA-512" hashValue="6uVv2IQbnYPC97F1hVvjxdHLXAkyGRITUm0fXD2DKILzRAASEmIhHfDMoXqa195Dx3PhuoSYPlYi+kobsm4OBA==" saltValue="s95mk2xN8PbLfV6FjQpVWg==" spinCount="100000" sheet="1" objects="1" scenarios="1"/>
  <mergeCells count="6">
    <mergeCell ref="A36:C36"/>
    <mergeCell ref="A2:J2"/>
    <mergeCell ref="A3:J3"/>
    <mergeCell ref="A4:J4"/>
    <mergeCell ref="F6:G6"/>
    <mergeCell ref="I6:K6"/>
  </mergeCells>
  <conditionalFormatting sqref="D36">
    <cfRule type="containsBlanks" dxfId="0" priority="1">
      <formula>LEN(TRIM(D36))=0</formula>
    </cfRule>
  </conditionalFormatting>
  <pageMargins left="0.51181102362204722" right="0.51181102362204722" top="0.94488188976377963" bottom="0.9448818897637796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E8DC-5466-4B6D-BAF9-B51824C05D64}">
  <dimension ref="A2:O70"/>
  <sheetViews>
    <sheetView topLeftCell="A4" zoomScale="82" zoomScaleNormal="82" workbookViewId="0">
      <selection activeCell="A67" sqref="A67:C67"/>
    </sheetView>
  </sheetViews>
  <sheetFormatPr defaultColWidth="9.140625" defaultRowHeight="15.75" x14ac:dyDescent="0.25"/>
  <cols>
    <col min="1" max="1" width="4.5703125" style="1" customWidth="1"/>
    <col min="2" max="2" width="27.140625" style="1" customWidth="1"/>
    <col min="3" max="3" width="29.5703125" style="1" customWidth="1"/>
    <col min="4" max="4" width="4.140625" style="1" customWidth="1"/>
    <col min="5" max="5" width="18.140625" style="1" customWidth="1"/>
    <col min="6" max="6" width="18" style="1" customWidth="1"/>
    <col min="7" max="7" width="3.42578125" style="2" customWidth="1"/>
    <col min="8" max="8" width="20.42578125" style="1" customWidth="1"/>
    <col min="9" max="10" width="21.140625" style="1" customWidth="1"/>
    <col min="11" max="12" width="9.140625" style="1"/>
    <col min="13" max="13" width="11.85546875" style="1" bestFit="1" customWidth="1"/>
    <col min="14" max="14" width="11.42578125" style="1" customWidth="1"/>
    <col min="15" max="15" width="12" style="1" customWidth="1"/>
    <col min="16" max="16384" width="9.140625" style="1"/>
  </cols>
  <sheetData>
    <row r="2" spans="1:10" x14ac:dyDescent="0.25">
      <c r="A2" s="74" t="s">
        <v>65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5" t="s">
        <v>66</v>
      </c>
      <c r="B3" s="75"/>
      <c r="C3" s="75"/>
      <c r="D3" s="75"/>
      <c r="E3" s="75"/>
      <c r="F3" s="75"/>
      <c r="G3" s="75"/>
      <c r="H3" s="75"/>
      <c r="I3" s="75"/>
    </row>
    <row r="4" spans="1:10" x14ac:dyDescent="0.25">
      <c r="A4" s="75" t="s">
        <v>67</v>
      </c>
      <c r="B4" s="75"/>
      <c r="C4" s="75"/>
      <c r="D4" s="75"/>
      <c r="E4" s="75"/>
      <c r="F4" s="75"/>
      <c r="G4" s="75"/>
      <c r="H4" s="75"/>
      <c r="I4" s="75"/>
    </row>
    <row r="6" spans="1:10" ht="18" customHeight="1" x14ac:dyDescent="0.25">
      <c r="E6" s="74" t="s">
        <v>68</v>
      </c>
      <c r="F6" s="74"/>
      <c r="G6" s="8"/>
      <c r="H6" s="78" t="s">
        <v>69</v>
      </c>
      <c r="I6" s="78"/>
      <c r="J6" s="78"/>
    </row>
    <row r="7" spans="1:10" ht="18" customHeight="1" x14ac:dyDescent="0.25">
      <c r="A7" s="1" t="s">
        <v>15</v>
      </c>
      <c r="E7" s="2" t="s">
        <v>16</v>
      </c>
      <c r="F7" s="2" t="s">
        <v>16</v>
      </c>
      <c r="H7" s="2" t="s">
        <v>16</v>
      </c>
      <c r="I7" s="2" t="s">
        <v>16</v>
      </c>
      <c r="J7" s="2" t="s">
        <v>16</v>
      </c>
    </row>
    <row r="8" spans="1:10" ht="18" customHeight="1" x14ac:dyDescent="0.25">
      <c r="A8" s="1" t="s">
        <v>17</v>
      </c>
      <c r="E8" s="2">
        <v>313</v>
      </c>
      <c r="F8" s="2">
        <v>313</v>
      </c>
      <c r="H8" s="2">
        <v>313</v>
      </c>
      <c r="I8" s="2">
        <v>313</v>
      </c>
      <c r="J8" s="2">
        <v>313</v>
      </c>
    </row>
    <row r="9" spans="1:10" ht="18" customHeight="1" x14ac:dyDescent="0.25">
      <c r="E9" s="2" t="s">
        <v>18</v>
      </c>
      <c r="F9" s="2" t="s">
        <v>18</v>
      </c>
      <c r="H9" s="2" t="s">
        <v>18</v>
      </c>
      <c r="I9" s="2" t="s">
        <v>18</v>
      </c>
      <c r="J9" s="2" t="s">
        <v>18</v>
      </c>
    </row>
    <row r="10" spans="1:10" ht="18" customHeight="1" x14ac:dyDescent="0.25">
      <c r="E10" s="2" t="s">
        <v>20</v>
      </c>
      <c r="F10" s="2" t="s">
        <v>21</v>
      </c>
      <c r="H10" s="2" t="s">
        <v>20</v>
      </c>
      <c r="I10" s="2" t="s">
        <v>21</v>
      </c>
      <c r="J10" s="2" t="s">
        <v>22</v>
      </c>
    </row>
    <row r="11" spans="1:10" ht="18" customHeight="1" x14ac:dyDescent="0.25"/>
    <row r="12" spans="1:10" ht="18" customHeight="1" x14ac:dyDescent="0.25">
      <c r="A12" s="11" t="s">
        <v>23</v>
      </c>
    </row>
    <row r="13" spans="1:10" ht="18" customHeight="1" x14ac:dyDescent="0.25">
      <c r="A13" s="1" t="s">
        <v>24</v>
      </c>
      <c r="D13" s="2" t="s">
        <v>25</v>
      </c>
      <c r="E13" s="12">
        <v>443</v>
      </c>
      <c r="F13" s="12">
        <v>443</v>
      </c>
      <c r="G13" s="2" t="s">
        <v>25</v>
      </c>
      <c r="H13" s="12">
        <v>443</v>
      </c>
      <c r="I13" s="12">
        <v>443</v>
      </c>
      <c r="J13" s="12">
        <v>443</v>
      </c>
    </row>
    <row r="14" spans="1:10" ht="18" customHeight="1" x14ac:dyDescent="0.25"/>
    <row r="15" spans="1:10" x14ac:dyDescent="0.25">
      <c r="A15" s="1" t="s">
        <v>26</v>
      </c>
      <c r="E15" s="12">
        <f>ROUND((E13*E8/12),2)</f>
        <v>11554.92</v>
      </c>
      <c r="F15" s="12">
        <f>ROUND((F13*F8/12),2)</f>
        <v>11554.92</v>
      </c>
      <c r="G15" s="13"/>
      <c r="H15" s="12">
        <f>ROUND((H13*H8/12),2)</f>
        <v>11554.92</v>
      </c>
      <c r="I15" s="12">
        <f>ROUND((I13*I8/12),2)</f>
        <v>11554.92</v>
      </c>
      <c r="J15" s="12">
        <f>ROUND((J13*J8/12),2)</f>
        <v>11554.92</v>
      </c>
    </row>
    <row r="16" spans="1:10" ht="19.5" customHeight="1" x14ac:dyDescent="0.25">
      <c r="A16" s="1" t="s">
        <v>27</v>
      </c>
      <c r="E16" s="12">
        <v>0</v>
      </c>
      <c r="F16" s="12">
        <f>ROUND(+F15*10%*1/3,2)</f>
        <v>385.16</v>
      </c>
      <c r="G16" s="13"/>
      <c r="H16" s="12">
        <v>0</v>
      </c>
      <c r="I16" s="12">
        <f>ROUND(+I15*10%*1/3,2)</f>
        <v>385.16</v>
      </c>
      <c r="J16" s="12">
        <f>ROUND(+J15*10%*1/3,2)</f>
        <v>385.16</v>
      </c>
    </row>
    <row r="17" spans="1:15" ht="18" customHeight="1" x14ac:dyDescent="0.25">
      <c r="A17" s="1" t="s">
        <v>28</v>
      </c>
      <c r="E17" s="12">
        <f>ROUND((E13*365/12/12),2)</f>
        <v>1122.8800000000001</v>
      </c>
      <c r="F17" s="12">
        <f>ROUND((F13*365/12/12),2)</f>
        <v>1122.8800000000001</v>
      </c>
      <c r="G17" s="13"/>
      <c r="H17" s="12">
        <f>ROUND((H13*365/12/12),2)</f>
        <v>1122.8800000000001</v>
      </c>
      <c r="I17" s="12">
        <f>ROUND((I13*365/12/12),2)</f>
        <v>1122.8800000000001</v>
      </c>
      <c r="J17" s="12">
        <f>ROUND((J13*365/12/12),2)</f>
        <v>1122.8800000000001</v>
      </c>
    </row>
    <row r="18" spans="1:15" ht="18" customHeight="1" x14ac:dyDescent="0.25">
      <c r="A18" s="1" t="s">
        <v>29</v>
      </c>
      <c r="E18" s="14">
        <f>ROUND(E13*(5/12),2)</f>
        <v>184.58</v>
      </c>
      <c r="F18" s="14">
        <f>ROUND(F13*(5/12),2)</f>
        <v>184.58</v>
      </c>
      <c r="G18" s="13"/>
      <c r="H18" s="14">
        <f>ROUND(H13*(5/12),2)</f>
        <v>184.58</v>
      </c>
      <c r="I18" s="14">
        <f>ROUND(I13*(5/12),2)</f>
        <v>184.58</v>
      </c>
      <c r="J18" s="14">
        <f>ROUND(J13*(5/12),2)</f>
        <v>184.58</v>
      </c>
    </row>
    <row r="19" spans="1:15" ht="18" customHeight="1" x14ac:dyDescent="0.25">
      <c r="A19" s="1" t="s">
        <v>30</v>
      </c>
      <c r="E19" s="12">
        <v>100</v>
      </c>
      <c r="F19" s="12">
        <v>100</v>
      </c>
      <c r="G19" s="13"/>
      <c r="H19" s="15">
        <v>100</v>
      </c>
      <c r="I19" s="12">
        <v>100</v>
      </c>
      <c r="J19" s="12">
        <v>100</v>
      </c>
    </row>
    <row r="20" spans="1:15" ht="21" customHeight="1" x14ac:dyDescent="0.25">
      <c r="A20" s="1" t="s">
        <v>31</v>
      </c>
      <c r="E20" s="16">
        <v>0</v>
      </c>
      <c r="F20" s="16">
        <f>0*377/12</f>
        <v>0</v>
      </c>
      <c r="G20" s="17"/>
      <c r="H20" s="18"/>
      <c r="I20" s="18"/>
      <c r="J20" s="18"/>
    </row>
    <row r="21" spans="1:15" ht="18" customHeight="1" x14ac:dyDescent="0.25">
      <c r="E21" s="14">
        <f>SUM(E15:E20)</f>
        <v>12962.38</v>
      </c>
      <c r="F21" s="14">
        <f>ROUND(SUM(F15:F20),2)</f>
        <v>13347.54</v>
      </c>
      <c r="G21" s="19"/>
      <c r="H21" s="14">
        <f>ROUND(SUM(H15:H20),2)</f>
        <v>12962.38</v>
      </c>
      <c r="I21" s="14">
        <f>ROUND(SUM(I15:I20),2)</f>
        <v>13347.54</v>
      </c>
      <c r="J21" s="14">
        <f>ROUND(SUM(J15:J20),2)</f>
        <v>13347.54</v>
      </c>
      <c r="M21" s="7"/>
      <c r="N21" s="7"/>
      <c r="O21" s="7"/>
    </row>
    <row r="22" spans="1:15" ht="18" customHeight="1" x14ac:dyDescent="0.25">
      <c r="E22" s="14"/>
    </row>
    <row r="23" spans="1:15" ht="18" customHeight="1" x14ac:dyDescent="0.25">
      <c r="A23" s="11" t="s">
        <v>32</v>
      </c>
    </row>
    <row r="24" spans="1:15" ht="18" customHeight="1" x14ac:dyDescent="0.25">
      <c r="A24" s="1" t="s">
        <v>33</v>
      </c>
      <c r="E24" s="20">
        <f>+E13*22.5/12</f>
        <v>830.625</v>
      </c>
      <c r="F24" s="20">
        <f>+F13*22.5/12</f>
        <v>830.625</v>
      </c>
      <c r="G24" s="13"/>
      <c r="H24" s="12">
        <f>ROUND(+H13*22.5/12,2)</f>
        <v>830.63</v>
      </c>
      <c r="I24" s="12">
        <f>ROUND(+I13*22.5/12,2)</f>
        <v>830.63</v>
      </c>
      <c r="J24" s="12">
        <f>ROUND(+J13*22.5/12,2)</f>
        <v>830.63</v>
      </c>
    </row>
    <row r="25" spans="1:15" ht="18" customHeight="1" x14ac:dyDescent="0.25">
      <c r="A25" s="4" t="s">
        <v>34</v>
      </c>
      <c r="E25" s="20">
        <v>1140</v>
      </c>
      <c r="F25" s="20">
        <v>1140</v>
      </c>
      <c r="G25" s="13"/>
      <c r="H25" s="20">
        <v>1140</v>
      </c>
      <c r="I25" s="20">
        <v>1140</v>
      </c>
      <c r="J25" s="20">
        <v>1140</v>
      </c>
    </row>
    <row r="26" spans="1:15" ht="18" customHeight="1" x14ac:dyDescent="0.25">
      <c r="A26" s="4" t="s">
        <v>35</v>
      </c>
      <c r="E26" s="20">
        <v>0</v>
      </c>
      <c r="F26" s="20">
        <v>0</v>
      </c>
      <c r="G26" s="13"/>
      <c r="H26" s="20">
        <v>0</v>
      </c>
      <c r="I26" s="20">
        <v>0</v>
      </c>
      <c r="J26" s="20">
        <v>0</v>
      </c>
    </row>
    <row r="27" spans="1:15" ht="18" customHeight="1" x14ac:dyDescent="0.25">
      <c r="A27" s="1" t="s">
        <v>36</v>
      </c>
      <c r="E27" s="20">
        <f>(E15*0.05)/2</f>
        <v>288.87299999999999</v>
      </c>
      <c r="F27" s="20">
        <f>(F15*0.05)/2</f>
        <v>288.87299999999999</v>
      </c>
      <c r="G27" s="13"/>
      <c r="H27" s="12">
        <f>ROUND((H15*0.05/2),2)</f>
        <v>288.87</v>
      </c>
      <c r="I27" s="12">
        <f>ROUND((I15*0.05/2),2)</f>
        <v>288.87</v>
      </c>
      <c r="J27" s="12">
        <f>ROUND((J15*0.05/2),2)</f>
        <v>288.87</v>
      </c>
    </row>
    <row r="28" spans="1:15" ht="18" customHeight="1" x14ac:dyDescent="0.25">
      <c r="A28" s="1" t="s">
        <v>37</v>
      </c>
      <c r="E28" s="20">
        <v>10</v>
      </c>
      <c r="F28" s="20">
        <v>10</v>
      </c>
      <c r="G28" s="13"/>
      <c r="H28" s="12">
        <v>10</v>
      </c>
      <c r="I28" s="12">
        <v>10</v>
      </c>
      <c r="J28" s="12">
        <v>10</v>
      </c>
    </row>
    <row r="29" spans="1:15" ht="18" customHeight="1" x14ac:dyDescent="0.25">
      <c r="A29" s="1" t="s">
        <v>38</v>
      </c>
      <c r="E29" s="21">
        <v>100</v>
      </c>
      <c r="F29" s="21">
        <v>100</v>
      </c>
      <c r="G29" s="17"/>
      <c r="H29" s="16">
        <v>100</v>
      </c>
      <c r="I29" s="16">
        <v>100</v>
      </c>
      <c r="J29" s="16">
        <v>100</v>
      </c>
    </row>
    <row r="30" spans="1:15" ht="18" customHeight="1" x14ac:dyDescent="0.25">
      <c r="E30" s="22">
        <f>SUM(E24:E29)</f>
        <v>2369.498</v>
      </c>
      <c r="F30" s="22">
        <f>SUM(F24:F29)</f>
        <v>2369.498</v>
      </c>
      <c r="G30" s="19"/>
      <c r="H30" s="14">
        <f>ROUND(SUM(H24:H29),2)</f>
        <v>2369.5</v>
      </c>
      <c r="I30" s="14">
        <f>ROUND(SUM(I24:I29),2)</f>
        <v>2369.5</v>
      </c>
      <c r="J30" s="14">
        <f>ROUND(SUM(J24:J29),2)</f>
        <v>2369.5</v>
      </c>
    </row>
    <row r="31" spans="1:15" ht="18" customHeight="1" x14ac:dyDescent="0.25"/>
    <row r="32" spans="1:15" ht="18" customHeight="1" x14ac:dyDescent="0.25">
      <c r="E32" s="11"/>
      <c r="F32" s="11"/>
      <c r="G32" s="8"/>
    </row>
    <row r="33" spans="1:10" ht="18" customHeight="1" x14ac:dyDescent="0.25">
      <c r="A33" s="11" t="s">
        <v>39</v>
      </c>
      <c r="D33" s="2" t="s">
        <v>25</v>
      </c>
      <c r="E33" s="23">
        <f>+E21+E30</f>
        <v>15331.877999999999</v>
      </c>
      <c r="F33" s="23">
        <f>ROUND(+F21+F30,2)</f>
        <v>15717.04</v>
      </c>
      <c r="G33" s="2" t="s">
        <v>25</v>
      </c>
      <c r="H33" s="23">
        <f>ROUND(+H30+H21,2)</f>
        <v>15331.88</v>
      </c>
      <c r="I33" s="23">
        <f>ROUND(+I30+I21,2)</f>
        <v>15717.04</v>
      </c>
      <c r="J33" s="23">
        <f>ROUND(+J30+J21,2)</f>
        <v>15717.04</v>
      </c>
    </row>
    <row r="34" spans="1:10" ht="18" customHeight="1" x14ac:dyDescent="0.25"/>
    <row r="35" spans="1:10" ht="18" customHeight="1" x14ac:dyDescent="0.25">
      <c r="A35" s="11" t="s">
        <v>40</v>
      </c>
    </row>
    <row r="36" spans="1:10" x14ac:dyDescent="0.25">
      <c r="A36" s="73" t="s">
        <v>41</v>
      </c>
      <c r="B36" s="73"/>
      <c r="C36" s="73"/>
      <c r="E36" s="24">
        <f>+E33*0.24</f>
        <v>3679.6507199999996</v>
      </c>
      <c r="F36" s="24">
        <f>+F33*24%</f>
        <v>3772.0896000000002</v>
      </c>
      <c r="G36" s="25"/>
      <c r="H36" s="23">
        <f>ROUND(H33*0.24,2)</f>
        <v>3679.65</v>
      </c>
      <c r="I36" s="23">
        <f>ROUND(I33*0.24,2)</f>
        <v>3772.09</v>
      </c>
      <c r="J36" s="23">
        <f>ROUND(J33*0.24,2)</f>
        <v>3772.09</v>
      </c>
    </row>
    <row r="37" spans="1:10" ht="18" customHeight="1" x14ac:dyDescent="0.25">
      <c r="E37" s="11"/>
      <c r="F37" s="11"/>
      <c r="G37" s="8"/>
      <c r="H37" s="11"/>
      <c r="I37" s="11"/>
      <c r="J37" s="11"/>
    </row>
    <row r="38" spans="1:10" ht="18" customHeight="1" x14ac:dyDescent="0.25">
      <c r="A38" s="11" t="s">
        <v>42</v>
      </c>
      <c r="E38" s="24">
        <f>+E36*0.12</f>
        <v>441.55808639999992</v>
      </c>
      <c r="F38" s="24">
        <f>+F36*0.12</f>
        <v>452.65075200000001</v>
      </c>
      <c r="G38" s="25"/>
      <c r="H38" s="24">
        <f>ROUND(+H36*0.12,2)</f>
        <v>441.56</v>
      </c>
      <c r="I38" s="24">
        <f>ROUND(+I36*0.12,2)</f>
        <v>452.65</v>
      </c>
      <c r="J38" s="24">
        <f>ROUND(+J36*0.12,2)</f>
        <v>452.65</v>
      </c>
    </row>
    <row r="39" spans="1:10" ht="18" customHeight="1" x14ac:dyDescent="0.25"/>
    <row r="40" spans="1:10" ht="18" customHeight="1" thickBot="1" x14ac:dyDescent="0.3">
      <c r="A40" s="11" t="s">
        <v>43</v>
      </c>
      <c r="D40" s="2" t="s">
        <v>25</v>
      </c>
      <c r="E40" s="26">
        <f>+E33+E36+E38</f>
        <v>19453.086806399999</v>
      </c>
      <c r="F40" s="26">
        <f>+F33+F36+F38</f>
        <v>19941.780352000002</v>
      </c>
      <c r="G40" s="2" t="s">
        <v>25</v>
      </c>
      <c r="H40" s="27">
        <f>ROUND(H33+H36+H38,2)</f>
        <v>19453.09</v>
      </c>
      <c r="I40" s="27">
        <f>ROUND(I33+I36+I38,2)</f>
        <v>19941.78</v>
      </c>
      <c r="J40" s="27">
        <f>ROUND(J33+J36+J38,2)</f>
        <v>19941.78</v>
      </c>
    </row>
    <row r="41" spans="1:10" ht="18" customHeight="1" thickTop="1" x14ac:dyDescent="0.25"/>
    <row r="43" spans="1:10" x14ac:dyDescent="0.25">
      <c r="E43" s="12"/>
      <c r="F43" s="12"/>
      <c r="G43" s="13"/>
    </row>
    <row r="44" spans="1:10" x14ac:dyDescent="0.25">
      <c r="B44" s="1" t="s">
        <v>45</v>
      </c>
      <c r="E44" s="14"/>
      <c r="F44" s="14"/>
      <c r="G44" s="19"/>
      <c r="H44" s="1" t="s">
        <v>46</v>
      </c>
    </row>
    <row r="46" spans="1:10" x14ac:dyDescent="0.25">
      <c r="B46" s="1" t="s">
        <v>47</v>
      </c>
      <c r="C46" s="19">
        <f>E13/8</f>
        <v>55.375</v>
      </c>
      <c r="H46" s="1" t="s">
        <v>47</v>
      </c>
      <c r="I46" s="19">
        <f>I13/8</f>
        <v>55.375</v>
      </c>
      <c r="J46" s="19">
        <f>J13/8</f>
        <v>55.375</v>
      </c>
    </row>
    <row r="47" spans="1:10" x14ac:dyDescent="0.25">
      <c r="A47" s="2">
        <v>295</v>
      </c>
      <c r="B47" s="1" t="s">
        <v>48</v>
      </c>
      <c r="E47" s="12">
        <f>ROUND((C46*1.25*295*4),2)</f>
        <v>81678.13</v>
      </c>
      <c r="H47" s="4" t="s">
        <v>49</v>
      </c>
      <c r="I47" s="28">
        <f>ROUND((I46*1.375*A47*4),2)</f>
        <v>89845.94</v>
      </c>
      <c r="J47" s="28">
        <f>ROUND((J46*1.375*A47*4),2)</f>
        <v>89845.94</v>
      </c>
    </row>
    <row r="48" spans="1:10" x14ac:dyDescent="0.25">
      <c r="A48" s="2">
        <v>12</v>
      </c>
      <c r="B48" s="1" t="s">
        <v>50</v>
      </c>
      <c r="E48" s="12">
        <f>ROUND((C46*2.6*12*4),2)</f>
        <v>6910.8</v>
      </c>
      <c r="H48" s="4" t="s">
        <v>51</v>
      </c>
      <c r="I48" s="28">
        <f>ROUND((I46*2.86*A48*4),2)</f>
        <v>7601.88</v>
      </c>
      <c r="J48" s="28">
        <f>ROUND((J46*2.86*A48*4),2)</f>
        <v>7601.88</v>
      </c>
    </row>
    <row r="49" spans="1:10" x14ac:dyDescent="0.25">
      <c r="A49" s="2">
        <v>6</v>
      </c>
      <c r="B49" s="1" t="s">
        <v>52</v>
      </c>
      <c r="E49" s="12">
        <f>ROUND((C46*1.69*A49*4),2)</f>
        <v>2246.0100000000002</v>
      </c>
      <c r="H49" s="4" t="s">
        <v>53</v>
      </c>
      <c r="I49" s="18">
        <f>ROUND((I46*1.859*A49*4),2)</f>
        <v>2470.61</v>
      </c>
      <c r="J49" s="18">
        <f>ROUND((J46*1.859*A49*4),2)</f>
        <v>2470.61</v>
      </c>
    </row>
    <row r="50" spans="1:10" x14ac:dyDescent="0.25">
      <c r="E50" s="29">
        <f>SUM(E47:E49)</f>
        <v>90834.94</v>
      </c>
      <c r="I50" s="28">
        <f>SUM(I47:I49)</f>
        <v>99918.430000000008</v>
      </c>
      <c r="J50" s="28">
        <f>SUM(J47:J49)</f>
        <v>99918.430000000008</v>
      </c>
    </row>
    <row r="51" spans="1:10" x14ac:dyDescent="0.25">
      <c r="B51" s="1" t="s">
        <v>54</v>
      </c>
      <c r="E51" s="30">
        <v>12</v>
      </c>
      <c r="H51" s="1" t="s">
        <v>55</v>
      </c>
      <c r="I51" s="30">
        <v>12</v>
      </c>
      <c r="J51" s="30">
        <v>12</v>
      </c>
    </row>
    <row r="52" spans="1:10" ht="16.5" thickBot="1" x14ac:dyDescent="0.3">
      <c r="B52" s="1" t="s">
        <v>56</v>
      </c>
      <c r="E52" s="26">
        <f>E50/E51</f>
        <v>7569.5783333333338</v>
      </c>
      <c r="H52" s="1" t="s">
        <v>57</v>
      </c>
      <c r="I52" s="31">
        <f>I50/I51</f>
        <v>8326.5358333333334</v>
      </c>
      <c r="J52" s="31">
        <f>J50/J51</f>
        <v>8326.5358333333334</v>
      </c>
    </row>
    <row r="53" spans="1:10" ht="16.5" thickTop="1" x14ac:dyDescent="0.25"/>
    <row r="54" spans="1:10" x14ac:dyDescent="0.25">
      <c r="B54" s="11" t="s">
        <v>58</v>
      </c>
      <c r="E54" s="14"/>
      <c r="H54" s="11"/>
    </row>
    <row r="55" spans="1:10" ht="15" customHeight="1" x14ac:dyDescent="0.25">
      <c r="B55" s="1" t="s">
        <v>59</v>
      </c>
    </row>
    <row r="56" spans="1:10" x14ac:dyDescent="0.25">
      <c r="B56" s="1" t="s">
        <v>60</v>
      </c>
    </row>
    <row r="59" spans="1:10" ht="18" customHeight="1" thickBot="1" x14ac:dyDescent="0.3">
      <c r="B59" s="1" t="s">
        <v>61</v>
      </c>
      <c r="E59" s="32">
        <f>E21-E17</f>
        <v>11839.5</v>
      </c>
      <c r="F59" s="32">
        <f>F21-F17</f>
        <v>12224.66</v>
      </c>
      <c r="G59" s="33"/>
      <c r="H59" s="34">
        <f>H21-H17</f>
        <v>11839.5</v>
      </c>
      <c r="I59" s="34">
        <f>I21-I17</f>
        <v>12224.66</v>
      </c>
      <c r="J59" s="34">
        <f>J21-J17</f>
        <v>12224.66</v>
      </c>
    </row>
    <row r="60" spans="1:10" ht="16.5" thickTop="1" x14ac:dyDescent="0.25"/>
    <row r="61" spans="1:10" x14ac:dyDescent="0.25">
      <c r="A61" s="6" t="s">
        <v>70</v>
      </c>
      <c r="B61" s="4"/>
      <c r="C61" s="4"/>
      <c r="D61" s="5"/>
      <c r="E61" s="4"/>
      <c r="F61" s="4"/>
      <c r="G61" s="5"/>
      <c r="H61" s="4"/>
      <c r="I61" s="4"/>
      <c r="J61" s="4"/>
    </row>
    <row r="62" spans="1:10" x14ac:dyDescent="0.25">
      <c r="A62" s="4"/>
      <c r="B62" s="4"/>
      <c r="C62" s="4"/>
      <c r="D62" s="5"/>
      <c r="E62" s="4"/>
      <c r="F62" s="4"/>
      <c r="G62" s="5"/>
      <c r="H62" s="4"/>
      <c r="I62" s="4"/>
      <c r="J62" s="4"/>
    </row>
    <row r="63" spans="1:10" x14ac:dyDescent="0.25">
      <c r="A63" s="4" t="s">
        <v>62</v>
      </c>
      <c r="B63" s="4"/>
      <c r="C63" s="4"/>
      <c r="D63" s="5"/>
      <c r="E63" s="4"/>
      <c r="F63" s="4"/>
      <c r="G63" s="5"/>
      <c r="H63" s="5">
        <v>2</v>
      </c>
      <c r="I63" s="5">
        <v>1</v>
      </c>
      <c r="J63" s="5">
        <v>1</v>
      </c>
    </row>
    <row r="64" spans="1:10" x14ac:dyDescent="0.25">
      <c r="A64" s="4"/>
      <c r="B64" s="4"/>
      <c r="C64" s="4"/>
      <c r="D64" s="5"/>
      <c r="E64" s="4"/>
      <c r="F64" s="4"/>
      <c r="G64" s="5"/>
      <c r="H64" s="4"/>
      <c r="I64" s="4"/>
      <c r="J64" s="4"/>
    </row>
    <row r="65" spans="1:13" x14ac:dyDescent="0.25">
      <c r="A65" s="4" t="s">
        <v>63</v>
      </c>
      <c r="B65" s="4"/>
      <c r="C65" s="4"/>
      <c r="D65" s="5"/>
      <c r="E65" s="4"/>
      <c r="F65" s="4"/>
      <c r="G65" s="5"/>
      <c r="H65" s="9">
        <f>ROUND(H40*H63,2)</f>
        <v>38906.18</v>
      </c>
      <c r="I65" s="9">
        <f>ROUND(I40*I63,2)</f>
        <v>19941.78</v>
      </c>
      <c r="J65" s="9">
        <f>ROUND(J40*J63,2)</f>
        <v>19941.78</v>
      </c>
      <c r="K65" s="1" t="s">
        <v>71</v>
      </c>
    </row>
    <row r="66" spans="1:13" x14ac:dyDescent="0.25">
      <c r="A66" s="4"/>
      <c r="B66" s="4"/>
      <c r="C66" s="4"/>
      <c r="D66" s="5"/>
      <c r="E66" s="4"/>
      <c r="F66" s="4"/>
      <c r="G66" s="5"/>
      <c r="H66" s="4"/>
      <c r="I66" s="4"/>
      <c r="J66" s="4"/>
    </row>
    <row r="67" spans="1:13" ht="15.95" customHeight="1" thickBot="1" x14ac:dyDescent="0.3">
      <c r="A67" s="77" t="s">
        <v>72</v>
      </c>
      <c r="B67" s="77"/>
      <c r="C67" s="77"/>
      <c r="D67" s="5"/>
      <c r="E67" s="37"/>
      <c r="F67" s="37"/>
      <c r="G67" s="36"/>
      <c r="H67" s="10">
        <f>ROUND(H65*12,2)</f>
        <v>466874.16</v>
      </c>
      <c r="I67" s="10">
        <f>ROUND(I65*12,2)</f>
        <v>239301.36</v>
      </c>
      <c r="J67" s="10">
        <f>ROUND(J65*12,2)</f>
        <v>239301.36</v>
      </c>
      <c r="M67" s="35"/>
    </row>
    <row r="68" spans="1:13" ht="16.5" thickTop="1" x14ac:dyDescent="0.25"/>
    <row r="69" spans="1:13" ht="19.5" thickBot="1" x14ac:dyDescent="0.35">
      <c r="H69" s="76">
        <f>SUM(H67:J67)</f>
        <v>945476.88</v>
      </c>
      <c r="I69" s="76"/>
      <c r="J69" s="76"/>
    </row>
    <row r="70" spans="1:13" ht="16.5" thickTop="1" x14ac:dyDescent="0.25"/>
  </sheetData>
  <mergeCells count="8">
    <mergeCell ref="H69:J69"/>
    <mergeCell ref="A67:C67"/>
    <mergeCell ref="A2:I2"/>
    <mergeCell ref="A3:I3"/>
    <mergeCell ref="A4:I4"/>
    <mergeCell ref="E6:F6"/>
    <mergeCell ref="H6:J6"/>
    <mergeCell ref="A36:C36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f6458b-2e26-4a91-bb0e-4be8d074fc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CAAA54F5FA34BA51040CAB742C29E" ma:contentTypeVersion="16" ma:contentTypeDescription="Create a new document." ma:contentTypeScope="" ma:versionID="9abe76f437ef7bb77f1b288b81358230">
  <xsd:schema xmlns:xsd="http://www.w3.org/2001/XMLSchema" xmlns:xs="http://www.w3.org/2001/XMLSchema" xmlns:p="http://schemas.microsoft.com/office/2006/metadata/properties" xmlns:ns3="0ef6458b-2e26-4a91-bb0e-4be8d074fc11" xmlns:ns4="c7a35127-d575-4605-ae17-b30ae5ca0f22" targetNamespace="http://schemas.microsoft.com/office/2006/metadata/properties" ma:root="true" ma:fieldsID="e2302756e2ba66a01d0e6e8e88f4aa7f" ns3:_="" ns4:_="">
    <xsd:import namespace="0ef6458b-2e26-4a91-bb0e-4be8d074fc11"/>
    <xsd:import namespace="c7a35127-d575-4605-ae17-b30ae5ca0f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6458b-2e26-4a91-bb0e-4be8d074f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35127-d575-4605-ae17-b30ae5ca0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C38B03-F711-4C03-807B-3CAB27A04C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C4D9B-7734-4C48-B9F3-4FCB3D2AF4DE}">
  <ds:schemaRefs>
    <ds:schemaRef ds:uri="http://schemas.microsoft.com/office/2006/metadata/properties"/>
    <ds:schemaRef ds:uri="http://schemas.microsoft.com/office/infopath/2007/PartnerControls"/>
    <ds:schemaRef ds:uri="0ef6458b-2e26-4a91-bb0e-4be8d074fc11"/>
  </ds:schemaRefs>
</ds:datastoreItem>
</file>

<file path=customXml/itemProps3.xml><?xml version="1.0" encoding="utf-8"?>
<ds:datastoreItem xmlns:ds="http://schemas.openxmlformats.org/officeDocument/2006/customXml" ds:itemID="{9F4D53B6-CF72-4C50-BE40-E16367675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f6458b-2e26-4a91-bb0e-4be8d074fc11"/>
    <ds:schemaRef ds:uri="c7a35127-d575-4605-ae17-b30ae5ca0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NCR MLC</vt:lpstr>
      <vt:lpstr>Toril</vt:lpstr>
      <vt:lpstr>'NCR MLC'!Print_Area</vt:lpstr>
      <vt:lpstr>Toril!Print_Area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Shara Valdeabella</dc:creator>
  <cp:keywords/>
  <dc:description/>
  <cp:lastModifiedBy>Noreen Antonio</cp:lastModifiedBy>
  <cp:revision/>
  <dcterms:created xsi:type="dcterms:W3CDTF">2022-09-08T07:38:08Z</dcterms:created>
  <dcterms:modified xsi:type="dcterms:W3CDTF">2023-10-26T01:11:52Z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0x01010032CCAAA54F5FA34BA51040CAB742C29E</vt:lpwstr>
  </property>
</Properties>
</file>