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natividad\Desktop\2024 Sesurity Services\"/>
    </mc:Choice>
  </mc:AlternateContent>
  <xr:revisionPtr revIDLastSave="0" documentId="13_ncr:1_{ED81899A-E405-4737-9601-BA207C6D56BF}" xr6:coauthVersionLast="47" xr6:coauthVersionMax="47" xr10:uidLastSave="{00000000-0000-0000-0000-000000000000}"/>
  <bookViews>
    <workbookView xWindow="-120" yWindow="-120" windowWidth="20730" windowHeight="11040" xr2:uid="{E07B5F02-8B00-4EF6-A9AD-F6259093ED5D}"/>
  </bookViews>
  <sheets>
    <sheet name="SUMMARY" sheetId="27" r:id="rId1"/>
    <sheet name="Basay" sheetId="16" r:id="rId2"/>
    <sheet name="Bagacay" sheetId="17" r:id="rId3"/>
    <sheet name="Toril12" sheetId="31" r:id="rId4"/>
    <sheet name="Toril" sheetId="18" state="hidden" r:id="rId5"/>
    <sheet name="Nonoc" sheetId="19" r:id="rId6"/>
    <sheet name="AO" sheetId="30" r:id="rId7"/>
  </sheets>
  <definedNames>
    <definedName name="Excel_BuiltIn_Print_Area_2" localSheetId="6">#REF!</definedName>
    <definedName name="Excel_BuiltIn_Print_Area_2" localSheetId="2">#REF!</definedName>
    <definedName name="Excel_BuiltIn_Print_Area_2" localSheetId="1">#REF!</definedName>
    <definedName name="Excel_BuiltIn_Print_Area_2" localSheetId="5">#REF!</definedName>
    <definedName name="Excel_BuiltIn_Print_Area_2" localSheetId="4">#REF!</definedName>
    <definedName name="Excel_BuiltIn_Print_Area_2" localSheetId="3">#REF!</definedName>
    <definedName name="Excel_BuiltIn_Print_Area_2">#REF!</definedName>
    <definedName name="_xlnm.Print_Area" localSheetId="2">Bagacay!$A$1:$L$71</definedName>
    <definedName name="_xlnm.Print_Area" localSheetId="1">Basay!$A$1:$K$73</definedName>
    <definedName name="_xlnm.Print_Area" localSheetId="5">Nonoc!$A$1:$L$73</definedName>
    <definedName name="_xlnm.Print_Area" localSheetId="4">Toril!$A$1:$I$59</definedName>
    <definedName name="_xlnm.Print_Area" localSheetId="3">Toril12!$A$1:$L$69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0" l="1"/>
  <c r="I7" i="30" l="1"/>
  <c r="L38" i="19"/>
  <c r="G38" i="19"/>
  <c r="F38" i="19"/>
  <c r="K38" i="16"/>
  <c r="G38" i="16"/>
  <c r="F38" i="16"/>
  <c r="E6" i="30" l="1"/>
  <c r="C46" i="31"/>
  <c r="F48" i="31" s="1"/>
  <c r="J46" i="31"/>
  <c r="J49" i="31" s="1"/>
  <c r="L24" i="31"/>
  <c r="J24" i="31"/>
  <c r="I24" i="31"/>
  <c r="G24" i="31"/>
  <c r="F24" i="31"/>
  <c r="G20" i="31"/>
  <c r="L18" i="31"/>
  <c r="J18" i="31"/>
  <c r="I18" i="31"/>
  <c r="G18" i="31"/>
  <c r="F18" i="31"/>
  <c r="L17" i="31"/>
  <c r="J17" i="31"/>
  <c r="I17" i="31"/>
  <c r="G17" i="31"/>
  <c r="F17" i="31"/>
  <c r="L15" i="31"/>
  <c r="L27" i="31" s="1"/>
  <c r="J15" i="31"/>
  <c r="J27" i="31" s="1"/>
  <c r="I15" i="31"/>
  <c r="I27" i="31" s="1"/>
  <c r="I30" i="31" s="1"/>
  <c r="G15" i="31"/>
  <c r="G16" i="31" s="1"/>
  <c r="F15" i="31"/>
  <c r="F27" i="31" s="1"/>
  <c r="F49" i="31" l="1"/>
  <c r="J48" i="31"/>
  <c r="J47" i="31"/>
  <c r="J50" i="31" s="1"/>
  <c r="J52" i="31" s="1"/>
  <c r="L20" i="31" s="1"/>
  <c r="F47" i="31"/>
  <c r="F50" i="31" s="1"/>
  <c r="F52" i="31" s="1"/>
  <c r="I20" i="31" s="1"/>
  <c r="I21" i="31" s="1"/>
  <c r="I58" i="31" s="1"/>
  <c r="J16" i="31"/>
  <c r="F21" i="31"/>
  <c r="F58" i="31" s="1"/>
  <c r="L16" i="31"/>
  <c r="G21" i="31"/>
  <c r="G58" i="31" s="1"/>
  <c r="F30" i="31"/>
  <c r="J30" i="31"/>
  <c r="L30" i="31"/>
  <c r="G27" i="31"/>
  <c r="G30" i="31" s="1"/>
  <c r="L21" i="31" l="1"/>
  <c r="L58" i="31" s="1"/>
  <c r="F33" i="31"/>
  <c r="F36" i="31" s="1"/>
  <c r="F38" i="31" s="1"/>
  <c r="G33" i="31"/>
  <c r="G36" i="31" s="1"/>
  <c r="G38" i="31" s="1"/>
  <c r="L33" i="31"/>
  <c r="L36" i="31" s="1"/>
  <c r="J20" i="31"/>
  <c r="J21" i="31" s="1"/>
  <c r="J58" i="31" s="1"/>
  <c r="I33" i="31"/>
  <c r="I36" i="31" s="1"/>
  <c r="F40" i="31"/>
  <c r="F64" i="31" s="1"/>
  <c r="F66" i="31" s="1"/>
  <c r="L38" i="31" l="1"/>
  <c r="J33" i="31"/>
  <c r="J36" i="31" s="1"/>
  <c r="I38" i="31"/>
  <c r="G40" i="31"/>
  <c r="G64" i="31" s="1"/>
  <c r="G66" i="31" s="1"/>
  <c r="C13" i="30"/>
  <c r="C16" i="30" s="1"/>
  <c r="E16" i="30" s="1"/>
  <c r="E7" i="30"/>
  <c r="E18" i="18"/>
  <c r="E17" i="18"/>
  <c r="E15" i="18"/>
  <c r="F17" i="18"/>
  <c r="F15" i="18"/>
  <c r="F16" i="18" s="1"/>
  <c r="F18" i="18"/>
  <c r="E18" i="30" l="1"/>
  <c r="E21" i="30" s="1"/>
  <c r="E23" i="30" s="1"/>
  <c r="J38" i="31"/>
  <c r="L40" i="31"/>
  <c r="L64" i="31" s="1"/>
  <c r="L66" i="31" s="1"/>
  <c r="I40" i="31"/>
  <c r="I64" i="31" s="1"/>
  <c r="I66" i="31" s="1"/>
  <c r="D13" i="30"/>
  <c r="D16" i="30" s="1"/>
  <c r="I9" i="30" s="1"/>
  <c r="I10" i="30" s="1"/>
  <c r="I11" i="30" s="1"/>
  <c r="I12" i="30" s="1"/>
  <c r="F21" i="18"/>
  <c r="J40" i="31" l="1"/>
  <c r="J64" i="31" s="1"/>
  <c r="J66" i="31" s="1"/>
  <c r="L68" i="31" s="1"/>
  <c r="C7" i="27" s="1"/>
  <c r="E25" i="30"/>
  <c r="E31" i="30" s="1"/>
  <c r="C9" i="27" s="1"/>
  <c r="H69" i="18" l="1"/>
  <c r="F27" i="18"/>
  <c r="E27" i="18"/>
  <c r="J49" i="18"/>
  <c r="J48" i="18"/>
  <c r="J47" i="18"/>
  <c r="E49" i="18"/>
  <c r="J48" i="19" l="1"/>
  <c r="J51" i="19" s="1"/>
  <c r="C48" i="19"/>
  <c r="F50" i="19" s="1"/>
  <c r="L29" i="19"/>
  <c r="L26" i="19"/>
  <c r="L32" i="19" s="1"/>
  <c r="K26" i="19"/>
  <c r="J26" i="19"/>
  <c r="I26" i="19"/>
  <c r="H26" i="19"/>
  <c r="G26" i="19"/>
  <c r="F26" i="19"/>
  <c r="K23" i="19"/>
  <c r="H23" i="19"/>
  <c r="L22" i="19"/>
  <c r="G22" i="19"/>
  <c r="L20" i="19"/>
  <c r="J20" i="19"/>
  <c r="I20" i="19"/>
  <c r="G20" i="19"/>
  <c r="F20" i="19"/>
  <c r="L19" i="19"/>
  <c r="J19" i="19"/>
  <c r="I19" i="19"/>
  <c r="G19" i="19"/>
  <c r="F19" i="19"/>
  <c r="L17" i="19"/>
  <c r="L18" i="19" s="1"/>
  <c r="J17" i="19"/>
  <c r="I17" i="19"/>
  <c r="I29" i="19" s="1"/>
  <c r="G17" i="19"/>
  <c r="G29" i="19" s="1"/>
  <c r="F17" i="19"/>
  <c r="F29" i="19" s="1"/>
  <c r="I49" i="18"/>
  <c r="I48" i="18"/>
  <c r="E48" i="18"/>
  <c r="J50" i="18"/>
  <c r="J52" i="18" s="1"/>
  <c r="J46" i="18"/>
  <c r="I46" i="18"/>
  <c r="I47" i="18" s="1"/>
  <c r="C46" i="18"/>
  <c r="E47" i="18" s="1"/>
  <c r="J24" i="18"/>
  <c r="I24" i="18"/>
  <c r="H24" i="18"/>
  <c r="F24" i="18"/>
  <c r="E24" i="18"/>
  <c r="E30" i="18" s="1"/>
  <c r="H21" i="18"/>
  <c r="H59" i="18" s="1"/>
  <c r="F59" i="18"/>
  <c r="E21" i="18"/>
  <c r="F20" i="18"/>
  <c r="J18" i="18"/>
  <c r="I18" i="18"/>
  <c r="H18" i="18"/>
  <c r="J17" i="18"/>
  <c r="I17" i="18"/>
  <c r="H17" i="18"/>
  <c r="J15" i="18"/>
  <c r="I15" i="18"/>
  <c r="H15" i="18"/>
  <c r="H27" i="18" s="1"/>
  <c r="J51" i="17"/>
  <c r="J48" i="17"/>
  <c r="J50" i="17" s="1"/>
  <c r="C48" i="17"/>
  <c r="L26" i="17"/>
  <c r="J26" i="17"/>
  <c r="I26" i="17"/>
  <c r="G26" i="17"/>
  <c r="F26" i="17"/>
  <c r="L22" i="17"/>
  <c r="G22" i="17"/>
  <c r="L20" i="17"/>
  <c r="J20" i="17"/>
  <c r="I20" i="17"/>
  <c r="G20" i="17"/>
  <c r="F20" i="17"/>
  <c r="L19" i="17"/>
  <c r="J19" i="17"/>
  <c r="I19" i="17"/>
  <c r="G19" i="17"/>
  <c r="F19" i="17"/>
  <c r="L17" i="17"/>
  <c r="L29" i="17" s="1"/>
  <c r="J17" i="17"/>
  <c r="J29" i="17" s="1"/>
  <c r="I17" i="17"/>
  <c r="I29" i="17" s="1"/>
  <c r="G17" i="17"/>
  <c r="F17" i="17"/>
  <c r="F23" i="17" s="1"/>
  <c r="H60" i="16"/>
  <c r="J48" i="16"/>
  <c r="J51" i="16" s="1"/>
  <c r="C48" i="16"/>
  <c r="H32" i="16"/>
  <c r="K26" i="16"/>
  <c r="J26" i="16"/>
  <c r="I26" i="16"/>
  <c r="G26" i="16"/>
  <c r="F26" i="16"/>
  <c r="K22" i="16"/>
  <c r="G22" i="16"/>
  <c r="K20" i="16"/>
  <c r="J20" i="16"/>
  <c r="I20" i="16"/>
  <c r="G20" i="16"/>
  <c r="F20" i="16"/>
  <c r="K19" i="16"/>
  <c r="J19" i="16"/>
  <c r="I19" i="16"/>
  <c r="G19" i="16"/>
  <c r="F19" i="16"/>
  <c r="K17" i="16"/>
  <c r="K29" i="16" s="1"/>
  <c r="J17" i="16"/>
  <c r="J29" i="16" s="1"/>
  <c r="I17" i="16"/>
  <c r="G17" i="16"/>
  <c r="G29" i="16" s="1"/>
  <c r="F17" i="16"/>
  <c r="F29" i="16" s="1"/>
  <c r="I32" i="19" l="1"/>
  <c r="F49" i="17"/>
  <c r="F50" i="17"/>
  <c r="F51" i="17"/>
  <c r="G18" i="16"/>
  <c r="F23" i="16"/>
  <c r="F35" i="16" s="1"/>
  <c r="K32" i="16"/>
  <c r="I29" i="16"/>
  <c r="I32" i="16" s="1"/>
  <c r="G23" i="16"/>
  <c r="G32" i="16"/>
  <c r="G35" i="16" s="1"/>
  <c r="F32" i="16"/>
  <c r="F51" i="16"/>
  <c r="F49" i="16"/>
  <c r="F50" i="16"/>
  <c r="J18" i="19"/>
  <c r="J29" i="19"/>
  <c r="J32" i="19" s="1"/>
  <c r="G32" i="19"/>
  <c r="J49" i="19"/>
  <c r="J50" i="19"/>
  <c r="F49" i="19"/>
  <c r="F51" i="19"/>
  <c r="E33" i="18"/>
  <c r="E36" i="18" s="1"/>
  <c r="E38" i="18" s="1"/>
  <c r="I50" i="18"/>
  <c r="I52" i="18" s="1"/>
  <c r="F32" i="19"/>
  <c r="L23" i="19"/>
  <c r="G18" i="19"/>
  <c r="G23" i="19" s="1"/>
  <c r="F23" i="19"/>
  <c r="H30" i="18"/>
  <c r="H33" i="18" s="1"/>
  <c r="I21" i="18"/>
  <c r="F30" i="18"/>
  <c r="F33" i="18" s="1"/>
  <c r="I27" i="18"/>
  <c r="I30" i="18" s="1"/>
  <c r="I33" i="18" s="1"/>
  <c r="J27" i="18"/>
  <c r="J30" i="18" s="1"/>
  <c r="I16" i="18"/>
  <c r="J16" i="18"/>
  <c r="J21" i="18" s="1"/>
  <c r="E50" i="18"/>
  <c r="E52" i="18" s="1"/>
  <c r="E59" i="18"/>
  <c r="J32" i="17"/>
  <c r="I32" i="17"/>
  <c r="L32" i="17"/>
  <c r="F60" i="17"/>
  <c r="F29" i="17"/>
  <c r="F32" i="17" s="1"/>
  <c r="F35" i="17" s="1"/>
  <c r="F38" i="17" s="1"/>
  <c r="G29" i="17"/>
  <c r="G32" i="17" s="1"/>
  <c r="J49" i="17"/>
  <c r="J52" i="17" s="1"/>
  <c r="J54" i="17" s="1"/>
  <c r="J22" i="17" s="1"/>
  <c r="G18" i="17"/>
  <c r="G23" i="17" s="1"/>
  <c r="J18" i="17"/>
  <c r="L18" i="17"/>
  <c r="L23" i="17" s="1"/>
  <c r="G60" i="16"/>
  <c r="F60" i="16"/>
  <c r="K18" i="16"/>
  <c r="K23" i="16" s="1"/>
  <c r="J50" i="16"/>
  <c r="J32" i="16"/>
  <c r="J49" i="16"/>
  <c r="J18" i="16"/>
  <c r="F52" i="19" l="1"/>
  <c r="F54" i="19" s="1"/>
  <c r="I22" i="19" s="1"/>
  <c r="I23" i="19" s="1"/>
  <c r="I62" i="19" s="1"/>
  <c r="J52" i="19"/>
  <c r="J54" i="19" s="1"/>
  <c r="J22" i="19" s="1"/>
  <c r="J23" i="19" s="1"/>
  <c r="G62" i="19"/>
  <c r="G35" i="19"/>
  <c r="L62" i="19"/>
  <c r="L35" i="19"/>
  <c r="F62" i="19"/>
  <c r="F35" i="19"/>
  <c r="J59" i="18"/>
  <c r="I36" i="18"/>
  <c r="I38" i="18" s="1"/>
  <c r="I40" i="18"/>
  <c r="I65" i="18" s="1"/>
  <c r="I67" i="18" s="1"/>
  <c r="I59" i="18"/>
  <c r="E40" i="18"/>
  <c r="F36" i="18"/>
  <c r="F38" i="18" s="1"/>
  <c r="H36" i="18"/>
  <c r="H38" i="18" s="1"/>
  <c r="J33" i="18"/>
  <c r="J23" i="17"/>
  <c r="J60" i="17" s="1"/>
  <c r="G60" i="17"/>
  <c r="G35" i="17"/>
  <c r="G38" i="17" s="1"/>
  <c r="F40" i="17"/>
  <c r="L60" i="17"/>
  <c r="L35" i="17"/>
  <c r="L38" i="17" s="1"/>
  <c r="F52" i="17"/>
  <c r="F54" i="17" s="1"/>
  <c r="I22" i="17" s="1"/>
  <c r="I23" i="17" s="1"/>
  <c r="I60" i="17" s="1"/>
  <c r="J52" i="16"/>
  <c r="J54" i="16" s="1"/>
  <c r="J22" i="16" s="1"/>
  <c r="J23" i="16" s="1"/>
  <c r="F40" i="16"/>
  <c r="F42" i="16" s="1"/>
  <c r="F52" i="16"/>
  <c r="F54" i="16" s="1"/>
  <c r="I22" i="16" s="1"/>
  <c r="I23" i="16" s="1"/>
  <c r="G40" i="16"/>
  <c r="G42" i="16" s="1"/>
  <c r="K60" i="16"/>
  <c r="K35" i="16"/>
  <c r="I35" i="19" l="1"/>
  <c r="I38" i="19" s="1"/>
  <c r="I40" i="19" s="1"/>
  <c r="I42" i="19" s="1"/>
  <c r="I68" i="19" s="1"/>
  <c r="I70" i="19" s="1"/>
  <c r="J35" i="17"/>
  <c r="G68" i="16"/>
  <c r="G70" i="16" s="1"/>
  <c r="F68" i="16"/>
  <c r="F70" i="16" s="1"/>
  <c r="J62" i="19"/>
  <c r="J35" i="19"/>
  <c r="J38" i="19" s="1"/>
  <c r="J40" i="19" s="1"/>
  <c r="H40" i="18"/>
  <c r="H65" i="18" s="1"/>
  <c r="H67" i="18" s="1"/>
  <c r="F40" i="18"/>
  <c r="J60" i="16"/>
  <c r="J35" i="16"/>
  <c r="J38" i="16" s="1"/>
  <c r="J40" i="16" s="1"/>
  <c r="G40" i="19"/>
  <c r="L40" i="19"/>
  <c r="F40" i="19"/>
  <c r="F42" i="19" s="1"/>
  <c r="F68" i="19" s="1"/>
  <c r="F70" i="19" s="1"/>
  <c r="J36" i="18"/>
  <c r="J38" i="18" s="1"/>
  <c r="L40" i="17"/>
  <c r="L42" i="17" s="1"/>
  <c r="L66" i="17" s="1"/>
  <c r="L68" i="17" s="1"/>
  <c r="J38" i="17"/>
  <c r="J40" i="17" s="1"/>
  <c r="G40" i="17"/>
  <c r="F42" i="17"/>
  <c r="F66" i="17" s="1"/>
  <c r="F68" i="17" s="1"/>
  <c r="I35" i="17"/>
  <c r="I60" i="16"/>
  <c r="I35" i="16"/>
  <c r="K40" i="16"/>
  <c r="L42" i="19" l="1"/>
  <c r="L68" i="19" s="1"/>
  <c r="L70" i="19" s="1"/>
  <c r="G42" i="19"/>
  <c r="G68" i="19" s="1"/>
  <c r="G70" i="19" s="1"/>
  <c r="J42" i="19"/>
  <c r="J68" i="19" s="1"/>
  <c r="J70" i="19" s="1"/>
  <c r="J40" i="18"/>
  <c r="J65" i="18" s="1"/>
  <c r="J67" i="18" s="1"/>
  <c r="I38" i="17"/>
  <c r="I40" i="17" s="1"/>
  <c r="G42" i="17"/>
  <c r="G66" i="17" s="1"/>
  <c r="G68" i="17" s="1"/>
  <c r="L70" i="17" s="1"/>
  <c r="C6" i="27" s="1"/>
  <c r="J42" i="17"/>
  <c r="K42" i="16"/>
  <c r="I38" i="16"/>
  <c r="I40" i="16" s="1"/>
  <c r="I42" i="16" s="1"/>
  <c r="J42" i="16"/>
  <c r="L72" i="19" l="1"/>
  <c r="C8" i="27" s="1"/>
  <c r="K68" i="16"/>
  <c r="K70" i="16" s="1"/>
  <c r="K72" i="16" s="1"/>
  <c r="C5" i="27" s="1"/>
  <c r="I42" i="17"/>
  <c r="C10" i="27" l="1"/>
</calcChain>
</file>

<file path=xl/sharedStrings.xml><?xml version="1.0" encoding="utf-8"?>
<sst xmlns="http://schemas.openxmlformats.org/spreadsheetml/2006/main" count="408" uniqueCount="122">
  <si>
    <t>PROVISION OF SECURITY SERVICES FOR PMO ASSETS CY 2024</t>
  </si>
  <si>
    <t>LOT 3 (Visayas and Mindanao)</t>
  </si>
  <si>
    <t>Item / Service</t>
  </si>
  <si>
    <t>Total Cost Per Year</t>
  </si>
  <si>
    <t>(Php)</t>
  </si>
  <si>
    <t>Provision of Security Services for Basay Mining Corporation (Pier and Mine Site), CotCot and Maglinao, Negros Oriental [REGION VII]</t>
  </si>
  <si>
    <t>Provision of Security Services for Bagacay Mines, Hinabangan, Western Samar [REGION VIII]</t>
  </si>
  <si>
    <t>Provision of Security Services for Building &amp; Lot, Toril, Davao City [REGION XI]</t>
  </si>
  <si>
    <t>Provision of Security Services for Nonoc Mining &amp; Industrial Corp. (NMIC), Nonoc Island, Surigao City [REGION XIII]</t>
  </si>
  <si>
    <t>Provision of Security Services for Account Officer (Security Manager)</t>
  </si>
  <si>
    <t>TOTAL</t>
  </si>
  <si>
    <t>TOTAL AMOUNT IN WORDS:</t>
  </si>
  <si>
    <t>Submitted by:</t>
  </si>
  <si>
    <t>(Signature over printed name of authorized signatory)</t>
  </si>
  <si>
    <t>Designation/Position Title:</t>
  </si>
  <si>
    <t>WAGE ORDER NO. ROVII-24</t>
  </si>
  <si>
    <t>Region VII (Central Visayas)</t>
  </si>
  <si>
    <t>Effective on 1 October 2023</t>
  </si>
  <si>
    <t xml:space="preserve"> </t>
  </si>
  <si>
    <t>Negros Oriental - 8 hours</t>
  </si>
  <si>
    <t>Days worked per week</t>
  </si>
  <si>
    <t>6 days</t>
  </si>
  <si>
    <t>No. of Days/year</t>
  </si>
  <si>
    <t>8 hours work/day</t>
  </si>
  <si>
    <t>12 hours work/day</t>
  </si>
  <si>
    <t>Day Shift</t>
  </si>
  <si>
    <t>Night Shift</t>
  </si>
  <si>
    <t>Relievers</t>
  </si>
  <si>
    <t>Amount to Guard</t>
  </si>
  <si>
    <t>Daily Wage (DW)</t>
  </si>
  <si>
    <t>P</t>
  </si>
  <si>
    <r>
      <t xml:space="preserve">Ave. Pay/Month </t>
    </r>
    <r>
      <rPr>
        <i/>
        <sz val="12"/>
        <color theme="1"/>
        <rFont val="Times New Roman"/>
        <family val="1"/>
      </rPr>
      <t>(DW x No. of Days per yr/12)</t>
    </r>
  </si>
  <si>
    <r>
      <t xml:space="preserve">Night Differential  </t>
    </r>
    <r>
      <rPr>
        <i/>
        <sz val="12"/>
        <color theme="1"/>
        <rFont val="Times New Roman"/>
        <family val="1"/>
      </rPr>
      <t>(Ave. Pay/mo. X 10% x 1/3)</t>
    </r>
  </si>
  <si>
    <r>
      <t xml:space="preserve">13 Month Pay  </t>
    </r>
    <r>
      <rPr>
        <i/>
        <sz val="12"/>
        <color theme="1"/>
        <rFont val="Times New Roman"/>
        <family val="1"/>
      </rPr>
      <t>(DW X 365 /12 /12 )</t>
    </r>
  </si>
  <si>
    <r>
      <t xml:space="preserve">5 Days Incentive Pay  </t>
    </r>
    <r>
      <rPr>
        <i/>
        <sz val="12"/>
        <color theme="1"/>
        <rFont val="Times New Roman"/>
        <family val="1"/>
      </rPr>
      <t>(DW x 5 / 12)</t>
    </r>
  </si>
  <si>
    <r>
      <t xml:space="preserve">Uniform Allowance </t>
    </r>
    <r>
      <rPr>
        <i/>
        <sz val="12"/>
        <color theme="1"/>
        <rFont val="Times New Roman"/>
        <family val="1"/>
      </rPr>
      <t>(R.A. 5487)</t>
    </r>
  </si>
  <si>
    <t xml:space="preserve">Overtime Pay </t>
  </si>
  <si>
    <t>Amount to Government in Favor of Guards</t>
  </si>
  <si>
    <t>Retirement Benefit (RA 7641) (DW x 22.5 / 12)</t>
  </si>
  <si>
    <r>
      <t xml:space="preserve">SSS Premium </t>
    </r>
    <r>
      <rPr>
        <sz val="11"/>
        <color theme="1"/>
        <rFont val="Times New Roman"/>
        <family val="1"/>
      </rPr>
      <t>(effective January 2023)</t>
    </r>
  </si>
  <si>
    <t>SSS WISP</t>
  </si>
  <si>
    <t>Philhealth Contribution (PHIC Circular 2020-0005)</t>
  </si>
  <si>
    <t>State Insurance Fund</t>
  </si>
  <si>
    <t>Pag-ibig Fund</t>
  </si>
  <si>
    <t>A. TOTAL AMOUNT TO GUARD &amp; GOV'T.</t>
  </si>
  <si>
    <t>B. AGENCY FEE</t>
  </si>
  <si>
    <r>
      <t>Administrative Overhead and Margin</t>
    </r>
    <r>
      <rPr>
        <i/>
        <sz val="12"/>
        <color theme="1"/>
        <rFont val="Times New Roman"/>
        <family val="1"/>
      </rPr>
      <t xml:space="preserve"> (Min. 20%, Max 24%</t>
    </r>
    <r>
      <rPr>
        <sz val="12"/>
        <color theme="1"/>
        <rFont val="Times New Roman"/>
        <family val="1"/>
      </rPr>
      <t>)</t>
    </r>
  </si>
  <si>
    <r>
      <t xml:space="preserve">C. VALUE ADDED TAX </t>
    </r>
    <r>
      <rPr>
        <sz val="12"/>
        <color theme="1"/>
        <rFont val="Times New Roman"/>
        <family val="1"/>
      </rPr>
      <t>(Agency fee x 12% VAT-RMC-39-2007)</t>
    </r>
  </si>
  <si>
    <t>AVERAGE CONTRACT RATE</t>
  </si>
  <si>
    <t>Overtime Computation (Day Shift)</t>
  </si>
  <si>
    <t>Overtime Computation (Night Shift)</t>
  </si>
  <si>
    <t>Rate per hour</t>
  </si>
  <si>
    <t>Ordinary Working Days (HR x 125% x 295 x 4)</t>
  </si>
  <si>
    <t>Ordinary WD (HR x 137.5% x 295 x 4)</t>
  </si>
  <si>
    <t>Regular Holidays (HR x 260% X 12 x 4)</t>
  </si>
  <si>
    <t>RD (HR x 286% x 12 x 4)</t>
  </si>
  <si>
    <t>Special Days (HR x 169% x 6 x 4)</t>
  </si>
  <si>
    <t>SD (HR x 185.9% x 6 x 4)</t>
  </si>
  <si>
    <t>Divided by 12</t>
  </si>
  <si>
    <t>Divided by</t>
  </si>
  <si>
    <t>Monthly overtime pay (4 hours/day)</t>
  </si>
  <si>
    <t>Monthly OT</t>
  </si>
  <si>
    <t xml:space="preserve">Remark(s) </t>
  </si>
  <si>
    <t>Changed the rate for special days since no one should work</t>
  </si>
  <si>
    <t>on a rest day.</t>
  </si>
  <si>
    <t>Basis for SSS (Amount to Guard less 13th month pay)</t>
  </si>
  <si>
    <t>TOTAL COST FOR ONE (1) YEAR ASSIGNED IN REGION VII (CENTRAL VISAYAS)</t>
  </si>
  <si>
    <t xml:space="preserve">No. of Guards To be Assigned </t>
  </si>
  <si>
    <t>Total Average Contract Rate Per Month</t>
  </si>
  <si>
    <t>Total for 1 Year (Basay Mines - Maglinao Mine Site &amp; Cotcot Pier)</t>
  </si>
  <si>
    <t>Region VIII (Eastern Visayas)</t>
  </si>
  <si>
    <t>Western Samar - 8 hours</t>
  </si>
  <si>
    <t>Philhealth Contribution (PHIC Advisory 2022-0010)</t>
  </si>
  <si>
    <t>TOTAL COST FOR ONE (1) YEAR ASSIGNED IN REGION VIII (EASTERN VISAYAS)</t>
  </si>
  <si>
    <t>Total for 1 Year (Bagacay Mines)</t>
  </si>
  <si>
    <t>WAGE ORDER NO. RB XI-21 (2nd Tranche)</t>
  </si>
  <si>
    <t>Davao Region</t>
  </si>
  <si>
    <t>Effective on 1 January 2023</t>
  </si>
  <si>
    <t>Davao del Sur - 12 hours</t>
  </si>
  <si>
    <t>TOTAL COST FOR ONE (1) YEAR ASSIGNED IN REGION XI (Toril, Davao Region)</t>
  </si>
  <si>
    <t>Total for 1 Year (Toril, Davao City)</t>
  </si>
  <si>
    <t>WAGE ORDER NO. RB XI-21</t>
  </si>
  <si>
    <t>Effective on 19 June 2022</t>
  </si>
  <si>
    <t>Toril - 8 hours</t>
  </si>
  <si>
    <t>Toril -12 hours</t>
  </si>
  <si>
    <t>Retirement Benefit (RA 7641) (DW x 22.5/12)</t>
  </si>
  <si>
    <t xml:space="preserve">                                                                                                            </t>
  </si>
  <si>
    <t>WAGE ORDER NO.  RXIII-17 (2nd Tranche)</t>
  </si>
  <si>
    <t>Region XIII (Caraga)</t>
  </si>
  <si>
    <t>Effective on 01 September 2022</t>
  </si>
  <si>
    <t>Caraga (Surigao del Norte) - 8 hours</t>
  </si>
  <si>
    <t>1) Changed the rate for special days since no one should work</t>
  </si>
  <si>
    <t xml:space="preserve">2) For new daily wage in the region, COLA is not accounted </t>
  </si>
  <si>
    <t>separately.</t>
  </si>
  <si>
    <t>TOTAL COST FOR ONE (1) YEAR ASSIGNED IN REGION RXIII-17 (Caraga)</t>
  </si>
  <si>
    <t>Total for 1 Year (Nonoc, Surigao City)</t>
  </si>
  <si>
    <t>Account Officer (Security Manager)</t>
  </si>
  <si>
    <t>Flat Monthly Rate (Take Home Pay: Minimum amount of P42,000.00)</t>
  </si>
  <si>
    <t>Amount Due Directly to AO/SM</t>
  </si>
  <si>
    <t>Estimated monthly wage</t>
  </si>
  <si>
    <t>13th Month Pay</t>
  </si>
  <si>
    <t>Gross Pay</t>
  </si>
  <si>
    <t>GROSS PAY</t>
  </si>
  <si>
    <t>Less:</t>
  </si>
  <si>
    <t>Amount Due to Government in favor of Guards</t>
  </si>
  <si>
    <t>ER Share</t>
  </si>
  <si>
    <t>EE Share</t>
  </si>
  <si>
    <t xml:space="preserve">         Statutory deductions (SSS,PHIC,Pag-Ibig)</t>
  </si>
  <si>
    <t xml:space="preserve">Net Amount before  tax </t>
  </si>
  <si>
    <t xml:space="preserve">SSS Premium </t>
  </si>
  <si>
    <t>Less:  Withholding Tax</t>
  </si>
  <si>
    <t>Estimated Net pay after tax</t>
  </si>
  <si>
    <t xml:space="preserve">Philhealth Contribution </t>
  </si>
  <si>
    <t>A. Total Amount Due to Guard &amp; Government</t>
  </si>
  <si>
    <r>
      <t>Administrative Overhead and Margin</t>
    </r>
    <r>
      <rPr>
        <i/>
        <sz val="11"/>
        <rFont val="Calibri"/>
        <family val="2"/>
        <scheme val="minor"/>
      </rPr>
      <t xml:space="preserve"> (Min. 20%, Max 24%</t>
    </r>
    <r>
      <rPr>
        <sz val="11"/>
        <rFont val="Calibri"/>
        <family val="2"/>
        <scheme val="minor"/>
      </rPr>
      <t>)</t>
    </r>
  </si>
  <si>
    <r>
      <t xml:space="preserve">C. VALUE ADDED TAX </t>
    </r>
    <r>
      <rPr>
        <i/>
        <sz val="11"/>
        <rFont val="Calibri (Body)"/>
      </rPr>
      <t>(Agency fee x 12% VAT)</t>
    </r>
  </si>
  <si>
    <t>AVERAGE RATE (1 AO/SM, Per Month)</t>
  </si>
  <si>
    <t xml:space="preserve">TOTAL COST FOR ONE (1) YEAR- AO (SM) </t>
  </si>
  <si>
    <t xml:space="preserve">No. of Persons Assigned </t>
  </si>
  <si>
    <t xml:space="preserve">Total for 1 year - AO/SM </t>
  </si>
  <si>
    <t>WAGE ORDER NO. RB VIII-23</t>
  </si>
  <si>
    <t>Effective on 30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</si>
</sst>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 (Body)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3" fontId="3" fillId="0" borderId="0" xfId="0" applyNumberFormat="1" applyFont="1"/>
    <xf numFmtId="0" fontId="2" fillId="0" borderId="0" xfId="0" applyFont="1" applyAlignment="1">
      <alignment horizontal="center"/>
    </xf>
    <xf numFmtId="4" fontId="3" fillId="0" borderId="0" xfId="0" applyNumberFormat="1" applyFont="1" applyProtection="1">
      <protection locked="0"/>
    </xf>
    <xf numFmtId="4" fontId="3" fillId="0" borderId="2" xfId="0" applyNumberFormat="1" applyFont="1" applyBorder="1" applyProtection="1">
      <protection locked="0"/>
    </xf>
    <xf numFmtId="0" fontId="2" fillId="0" borderId="0" xfId="0" applyFont="1"/>
    <xf numFmtId="164" fontId="3" fillId="0" borderId="0" xfId="2" applyFont="1"/>
    <xf numFmtId="164" fontId="3" fillId="0" borderId="0" xfId="2" applyFont="1" applyAlignment="1">
      <alignment horizontal="center"/>
    </xf>
    <xf numFmtId="164" fontId="3" fillId="0" borderId="0" xfId="0" applyNumberFormat="1" applyFont="1"/>
    <xf numFmtId="2" fontId="3" fillId="0" borderId="0" xfId="0" applyNumberFormat="1" applyFont="1"/>
    <xf numFmtId="164" fontId="3" fillId="0" borderId="1" xfId="2" applyFont="1" applyBorder="1"/>
    <xf numFmtId="164" fontId="3" fillId="0" borderId="0" xfId="2" applyFont="1" applyBorder="1" applyAlignment="1">
      <alignment horizontal="center"/>
    </xf>
    <xf numFmtId="43" fontId="3" fillId="0" borderId="1" xfId="3" applyFont="1" applyBorder="1"/>
    <xf numFmtId="164" fontId="3" fillId="0" borderId="0" xfId="0" applyNumberFormat="1" applyFont="1" applyAlignment="1">
      <alignment horizontal="center"/>
    </xf>
    <xf numFmtId="164" fontId="5" fillId="0" borderId="0" xfId="2" applyFont="1"/>
    <xf numFmtId="164" fontId="5" fillId="0" borderId="1" xfId="2" applyFont="1" applyBorder="1"/>
    <xf numFmtId="164" fontId="5" fillId="0" borderId="0" xfId="0" applyNumberFormat="1" applyFont="1"/>
    <xf numFmtId="43" fontId="2" fillId="0" borderId="0" xfId="0" applyNumberFormat="1" applyFont="1"/>
    <xf numFmtId="164" fontId="2" fillId="0" borderId="0" xfId="2" applyFont="1"/>
    <xf numFmtId="164" fontId="2" fillId="0" borderId="0" xfId="2" applyFont="1" applyAlignment="1">
      <alignment horizontal="center"/>
    </xf>
    <xf numFmtId="164" fontId="2" fillId="0" borderId="2" xfId="2" applyFont="1" applyBorder="1"/>
    <xf numFmtId="43" fontId="2" fillId="0" borderId="2" xfId="0" applyNumberFormat="1" applyFont="1" applyBorder="1"/>
    <xf numFmtId="43" fontId="3" fillId="0" borderId="0" xfId="3" applyFont="1"/>
    <xf numFmtId="164" fontId="3" fillId="0" borderId="3" xfId="0" applyNumberFormat="1" applyFont="1" applyBorder="1"/>
    <xf numFmtId="0" fontId="3" fillId="0" borderId="1" xfId="0" applyFont="1" applyBorder="1"/>
    <xf numFmtId="164" fontId="2" fillId="0" borderId="4" xfId="0" applyNumberFormat="1" applyFont="1" applyBorder="1"/>
    <xf numFmtId="164" fontId="3" fillId="0" borderId="2" xfId="2" applyFont="1" applyBorder="1"/>
    <xf numFmtId="164" fontId="3" fillId="0" borderId="2" xfId="2" applyFont="1" applyBorder="1" applyAlignment="1">
      <alignment horizontal="center"/>
    </xf>
    <xf numFmtId="164" fontId="3" fillId="0" borderId="2" xfId="0" applyNumberFormat="1" applyFont="1" applyBorder="1"/>
    <xf numFmtId="4" fontId="3" fillId="0" borderId="0" xfId="0" applyNumberFormat="1" applyFont="1"/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5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1" fillId="0" borderId="0" xfId="0" applyFont="1"/>
    <xf numFmtId="164" fontId="12" fillId="0" borderId="0" xfId="1" applyFont="1" applyFill="1" applyProtection="1"/>
    <xf numFmtId="164" fontId="11" fillId="0" borderId="0" xfId="1" applyFont="1" applyFill="1" applyProtection="1"/>
    <xf numFmtId="164" fontId="11" fillId="0" borderId="1" xfId="0" applyNumberFormat="1" applyFont="1" applyBorder="1"/>
    <xf numFmtId="164" fontId="11" fillId="0" borderId="0" xfId="0" applyNumberFormat="1" applyFont="1"/>
    <xf numFmtId="0" fontId="13" fillId="0" borderId="0" xfId="0" applyFont="1"/>
    <xf numFmtId="164" fontId="11" fillId="0" borderId="0" xfId="1" applyFont="1" applyFill="1" applyAlignment="1" applyProtection="1">
      <alignment horizontal="center"/>
    </xf>
    <xf numFmtId="0" fontId="12" fillId="0" borderId="0" xfId="0" applyFont="1" applyAlignment="1">
      <alignment wrapText="1"/>
    </xf>
    <xf numFmtId="43" fontId="11" fillId="0" borderId="0" xfId="0" applyNumberFormat="1" applyFont="1" applyAlignment="1">
      <alignment vertical="center"/>
    </xf>
    <xf numFmtId="164" fontId="11" fillId="0" borderId="1" xfId="1" applyFont="1" applyFill="1" applyBorder="1" applyProtection="1"/>
    <xf numFmtId="43" fontId="12" fillId="0" borderId="4" xfId="0" applyNumberFormat="1" applyFont="1" applyBorder="1"/>
    <xf numFmtId="164" fontId="11" fillId="0" borderId="1" xfId="1" applyFont="1" applyFill="1" applyBorder="1" applyAlignment="1" applyProtection="1">
      <alignment horizontal="center"/>
    </xf>
    <xf numFmtId="0" fontId="11" fillId="0" borderId="0" xfId="0" applyFont="1" applyProtection="1">
      <protection locked="0"/>
    </xf>
    <xf numFmtId="0" fontId="0" fillId="0" borderId="0" xfId="0" applyProtection="1">
      <protection locked="0"/>
    </xf>
    <xf numFmtId="43" fontId="10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64" fontId="3" fillId="0" borderId="0" xfId="2" applyFont="1" applyProtection="1"/>
    <xf numFmtId="164" fontId="3" fillId="0" borderId="0" xfId="2" applyFont="1" applyAlignment="1" applyProtection="1">
      <alignment horizontal="center"/>
    </xf>
    <xf numFmtId="164" fontId="3" fillId="0" borderId="1" xfId="2" applyFont="1" applyBorder="1" applyProtection="1"/>
    <xf numFmtId="164" fontId="3" fillId="0" borderId="0" xfId="2" applyFont="1" applyBorder="1" applyAlignment="1" applyProtection="1">
      <alignment horizontal="center"/>
    </xf>
    <xf numFmtId="43" fontId="3" fillId="0" borderId="1" xfId="3" applyFont="1" applyBorder="1" applyProtection="1"/>
    <xf numFmtId="164" fontId="5" fillId="0" borderId="0" xfId="2" applyFont="1" applyProtection="1"/>
    <xf numFmtId="164" fontId="5" fillId="0" borderId="1" xfId="2" applyFont="1" applyBorder="1" applyProtection="1"/>
    <xf numFmtId="164" fontId="2" fillId="0" borderId="0" xfId="2" applyFont="1" applyProtection="1"/>
    <xf numFmtId="164" fontId="2" fillId="0" borderId="0" xfId="2" applyFont="1" applyAlignment="1" applyProtection="1">
      <alignment horizontal="center"/>
    </xf>
    <xf numFmtId="164" fontId="2" fillId="0" borderId="2" xfId="2" applyFont="1" applyBorder="1" applyProtection="1"/>
    <xf numFmtId="43" fontId="3" fillId="0" borderId="0" xfId="3" applyFont="1" applyProtection="1"/>
    <xf numFmtId="164" fontId="3" fillId="0" borderId="2" xfId="2" applyFont="1" applyBorder="1" applyProtection="1"/>
    <xf numFmtId="164" fontId="3" fillId="0" borderId="2" xfId="2" applyFont="1" applyBorder="1" applyAlignment="1" applyProtection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4" fontId="7" fillId="0" borderId="2" xfId="0" applyNumberFormat="1" applyFont="1" applyBorder="1"/>
    <xf numFmtId="9" fontId="3" fillId="0" borderId="9" xfId="4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4" fontId="3" fillId="0" borderId="2" xfId="0" applyNumberFormat="1" applyFont="1" applyBorder="1"/>
    <xf numFmtId="4" fontId="7" fillId="0" borderId="2" xfId="0" applyNumberFormat="1" applyFont="1" applyBorder="1"/>
    <xf numFmtId="164" fontId="5" fillId="0" borderId="0" xfId="2" applyFont="1" applyAlignment="1" applyProtection="1">
      <alignment horizontal="center"/>
    </xf>
    <xf numFmtId="164" fontId="3" fillId="0" borderId="0" xfId="2" applyFont="1" applyBorder="1" applyProtection="1"/>
    <xf numFmtId="164" fontId="12" fillId="0" borderId="0" xfId="0" applyNumberFormat="1" applyFont="1"/>
    <xf numFmtId="164" fontId="13" fillId="0" borderId="1" xfId="0" applyNumberFormat="1" applyFont="1" applyBorder="1"/>
    <xf numFmtId="43" fontId="11" fillId="0" borderId="0" xfId="0" applyNumberFormat="1" applyFont="1"/>
    <xf numFmtId="43" fontId="13" fillId="0" borderId="0" xfId="0" applyNumberFormat="1" applyFont="1"/>
    <xf numFmtId="43" fontId="12" fillId="0" borderId="0" xfId="0" applyNumberFormat="1" applyFont="1"/>
    <xf numFmtId="43" fontId="13" fillId="0" borderId="1" xfId="0" applyNumberFormat="1" applyFont="1" applyBorder="1"/>
    <xf numFmtId="164" fontId="12" fillId="0" borderId="2" xfId="0" applyNumberFormat="1" applyFont="1" applyBorder="1"/>
    <xf numFmtId="0" fontId="8" fillId="0" borderId="0" xfId="0" applyFont="1"/>
    <xf numFmtId="0" fontId="0" fillId="0" borderId="0" xfId="0" applyAlignment="1">
      <alignment horizontal="center"/>
    </xf>
    <xf numFmtId="43" fontId="8" fillId="0" borderId="2" xfId="0" applyNumberFormat="1" applyFont="1" applyBorder="1"/>
    <xf numFmtId="9" fontId="12" fillId="0" borderId="9" xfId="4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/>
    </xf>
    <xf numFmtId="43" fontId="0" fillId="0" borderId="8" xfId="0" applyNumberForma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43" fontId="11" fillId="0" borderId="8" xfId="0" applyNumberFormat="1" applyFont="1" applyBorder="1" applyAlignment="1">
      <alignment horizontal="left" vertical="center" wrapText="1"/>
    </xf>
    <xf numFmtId="43" fontId="8" fillId="0" borderId="8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3" fontId="2" fillId="0" borderId="0" xfId="0" applyNumberFormat="1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7" fillId="0" borderId="2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wrapText="1"/>
      <protection locked="0"/>
    </xf>
    <xf numFmtId="0" fontId="15" fillId="0" borderId="0" xfId="0" applyFont="1" applyAlignment="1">
      <alignment horizontal="center"/>
    </xf>
  </cellXfs>
  <cellStyles count="5">
    <cellStyle name="Comma" xfId="1" builtinId="3"/>
    <cellStyle name="Comma 2" xfId="2" xr:uid="{989A1B9A-EFFD-4F4E-8DFB-A6490F43ECAD}"/>
    <cellStyle name="Comma 3" xfId="3" xr:uid="{2BA04C63-68E6-42D5-9DB1-5053FD563B9F}"/>
    <cellStyle name="Normal" xfId="0" builtinId="0"/>
    <cellStyle name="Percent" xfId="4" builtinId="5"/>
  </cellStyles>
  <dxfs count="9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8" tint="0.59996337778862885"/>
      </font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CE3B-4C67-4EFD-B904-AEE9FA67863F}">
  <sheetPr>
    <pageSetUpPr fitToPage="1"/>
  </sheetPr>
  <dimension ref="A1:F20"/>
  <sheetViews>
    <sheetView tabSelected="1" zoomScale="106" zoomScaleNormal="106" workbookViewId="0">
      <selection activeCell="F6" sqref="F6"/>
    </sheetView>
  </sheetViews>
  <sheetFormatPr defaultRowHeight="15"/>
  <cols>
    <col min="1" max="1" width="3.140625" customWidth="1"/>
    <col min="2" max="2" width="77.5703125" customWidth="1"/>
    <col min="3" max="3" width="20.28515625" customWidth="1"/>
    <col min="6" max="6" width="15.7109375" bestFit="1" customWidth="1"/>
  </cols>
  <sheetData>
    <row r="1" spans="1:6">
      <c r="A1" s="104" t="s">
        <v>0</v>
      </c>
      <c r="B1" s="104"/>
      <c r="C1" s="104"/>
    </row>
    <row r="2" spans="1:6">
      <c r="A2" s="108" t="s">
        <v>1</v>
      </c>
      <c r="B2" s="108"/>
      <c r="C2" s="108"/>
    </row>
    <row r="3" spans="1:6" ht="18.75" customHeight="1">
      <c r="A3" s="105" t="s">
        <v>2</v>
      </c>
      <c r="B3" s="105"/>
      <c r="C3" s="91" t="s">
        <v>3</v>
      </c>
    </row>
    <row r="4" spans="1:6" ht="18" customHeight="1">
      <c r="A4" s="105"/>
      <c r="B4" s="105"/>
      <c r="C4" s="90" t="s">
        <v>4</v>
      </c>
    </row>
    <row r="5" spans="1:6" ht="35.1" customHeight="1">
      <c r="A5" s="92">
        <v>1</v>
      </c>
      <c r="B5" s="94" t="s">
        <v>5</v>
      </c>
      <c r="C5" s="93" t="e">
        <f>Basay!K72</f>
        <v>#VALUE!</v>
      </c>
    </row>
    <row r="6" spans="1:6" ht="35.1" customHeight="1">
      <c r="A6" s="92">
        <v>2</v>
      </c>
      <c r="B6" s="94" t="s">
        <v>6</v>
      </c>
      <c r="C6" s="93" t="e">
        <f>Bagacay!L70</f>
        <v>#VALUE!</v>
      </c>
    </row>
    <row r="7" spans="1:6" ht="20.100000000000001" customHeight="1">
      <c r="A7" s="92">
        <v>3</v>
      </c>
      <c r="B7" s="94" t="s">
        <v>7</v>
      </c>
      <c r="C7" s="93" t="e">
        <f>Toril12!L68</f>
        <v>#VALUE!</v>
      </c>
    </row>
    <row r="8" spans="1:6" ht="35.1" customHeight="1">
      <c r="A8" s="92">
        <v>4</v>
      </c>
      <c r="B8" s="94" t="s">
        <v>8</v>
      </c>
      <c r="C8" s="93" t="e">
        <f>Nonoc!L72</f>
        <v>#VALUE!</v>
      </c>
    </row>
    <row r="9" spans="1:6" ht="20.100000000000001" customHeight="1">
      <c r="A9" s="92">
        <v>5</v>
      </c>
      <c r="B9" s="94" t="s">
        <v>9</v>
      </c>
      <c r="C9" s="95" t="e">
        <f>AO!E31</f>
        <v>#VALUE!</v>
      </c>
    </row>
    <row r="10" spans="1:6" s="38" customFormat="1" ht="35.1" customHeight="1">
      <c r="A10" s="106" t="s">
        <v>10</v>
      </c>
      <c r="B10" s="107"/>
      <c r="C10" s="96" t="e">
        <f>SUM(C5:C9)</f>
        <v>#VALUE!</v>
      </c>
      <c r="F10" s="54"/>
    </row>
    <row r="12" spans="1:6">
      <c r="A12" s="102" t="s">
        <v>11</v>
      </c>
      <c r="B12" s="102"/>
      <c r="C12" s="102"/>
    </row>
    <row r="13" spans="1:6">
      <c r="A13" s="103"/>
      <c r="B13" s="103"/>
      <c r="C13" s="103"/>
    </row>
    <row r="14" spans="1:6">
      <c r="A14" s="103"/>
      <c r="B14" s="103"/>
      <c r="C14" s="103"/>
    </row>
    <row r="16" spans="1:6">
      <c r="A16" t="s">
        <v>12</v>
      </c>
    </row>
    <row r="17" spans="1:2">
      <c r="B17" s="98"/>
    </row>
    <row r="18" spans="1:2">
      <c r="B18" s="97" t="s">
        <v>13</v>
      </c>
    </row>
    <row r="19" spans="1:2">
      <c r="A19" t="s">
        <v>14</v>
      </c>
    </row>
    <row r="20" spans="1:2">
      <c r="B20" s="99"/>
    </row>
  </sheetData>
  <sheetProtection algorithmName="SHA-512" hashValue="Kqx/PL+V+ZFEnlvpZDfiAIo5QEDJ4jbInP+lT1fVDSfxbWvUjehF4aZMldB5cALEuxJ2phSIykNcX3s5Iaj12w==" saltValue="S+TLXSXqzeVZy1Djn+OMeQ==" spinCount="100000" sheet="1" objects="1" scenarios="1"/>
  <mergeCells count="6">
    <mergeCell ref="A12:C12"/>
    <mergeCell ref="A13:C14"/>
    <mergeCell ref="A1:C1"/>
    <mergeCell ref="A3:B4"/>
    <mergeCell ref="A10:B10"/>
    <mergeCell ref="A2:C2"/>
  </mergeCells>
  <conditionalFormatting sqref="A13:C14">
    <cfRule type="containsBlanks" dxfId="8" priority="4">
      <formula>LEN(TRIM(A13))=0</formula>
    </cfRule>
    <cfRule type="containsBlanks" dxfId="7" priority="5">
      <formula>LEN(TRIM(A13))=0</formula>
    </cfRule>
  </conditionalFormatting>
  <conditionalFormatting sqref="B17">
    <cfRule type="containsBlanks" dxfId="6" priority="3">
      <formula>LEN(TRIM(B17))=0</formula>
    </cfRule>
  </conditionalFormatting>
  <conditionalFormatting sqref="B20">
    <cfRule type="containsBlanks" dxfId="5" priority="1">
      <formula>LEN(TRIM(B20))=0</formula>
    </cfRule>
    <cfRule type="containsBlanks" priority="2">
      <formula>LEN(TRIM(B20))=0</formula>
    </cfRule>
  </conditionalFormatting>
  <printOptions horizontalCentered="1"/>
  <pageMargins left="0.39370078740157483" right="0.19685039370078741" top="0.78740157480314965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E88D-1106-4ECB-A1E8-62693E7C3A4D}">
  <sheetPr>
    <pageSetUpPr fitToPage="1"/>
  </sheetPr>
  <dimension ref="A2:P73"/>
  <sheetViews>
    <sheetView topLeftCell="B31" zoomScale="106" zoomScaleNormal="106" workbookViewId="0">
      <selection activeCell="L39" sqref="L39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2.42578125" style="1" customWidth="1"/>
    <col min="4" max="4" width="7.85546875" style="1" customWidth="1"/>
    <col min="5" max="5" width="2.42578125" style="2" bestFit="1" customWidth="1"/>
    <col min="6" max="6" width="18.140625" style="1" customWidth="1"/>
    <col min="7" max="7" width="18" style="1" customWidth="1"/>
    <col min="8" max="8" width="2.5703125" style="2" hidden="1" customWidth="1"/>
    <col min="9" max="9" width="22.42578125" style="1" hidden="1" customWidth="1"/>
    <col min="10" max="10" width="19.5703125" style="1" hidden="1" customWidth="1"/>
    <col min="11" max="11" width="18" style="1" customWidth="1"/>
    <col min="12" max="13" width="9.140625" style="1"/>
    <col min="14" max="14" width="13.140625" style="1" bestFit="1" customWidth="1"/>
    <col min="15" max="15" width="10.85546875" style="1" customWidth="1"/>
    <col min="16" max="16" width="12.140625" style="1" customWidth="1"/>
    <col min="17" max="16384" width="9.140625" style="1"/>
  </cols>
  <sheetData>
    <row r="2" spans="1:11">
      <c r="A2" s="110" t="s">
        <v>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>
      <c r="A3" s="111" t="s">
        <v>16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>
      <c r="A4" s="111" t="s">
        <v>17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>
      <c r="I5" s="1" t="s">
        <v>18</v>
      </c>
    </row>
    <row r="7" spans="1:11">
      <c r="I7" s="1" t="s">
        <v>18</v>
      </c>
    </row>
    <row r="8" spans="1:11" ht="18" customHeight="1">
      <c r="F8" s="110" t="s">
        <v>19</v>
      </c>
      <c r="G8" s="110"/>
      <c r="H8" s="110"/>
      <c r="I8" s="110"/>
      <c r="J8" s="110"/>
      <c r="K8" s="110"/>
    </row>
    <row r="9" spans="1:11" ht="18" customHeight="1">
      <c r="A9" s="1" t="s">
        <v>20</v>
      </c>
      <c r="F9" s="2" t="s">
        <v>21</v>
      </c>
      <c r="G9" s="2" t="s">
        <v>21</v>
      </c>
      <c r="I9" s="2" t="s">
        <v>21</v>
      </c>
      <c r="J9" s="2" t="s">
        <v>21</v>
      </c>
      <c r="K9" s="2" t="s">
        <v>21</v>
      </c>
    </row>
    <row r="10" spans="1:11" ht="18" customHeight="1">
      <c r="A10" s="1" t="s">
        <v>22</v>
      </c>
      <c r="F10" s="2">
        <v>313</v>
      </c>
      <c r="G10" s="2">
        <v>313</v>
      </c>
      <c r="I10" s="2">
        <v>313</v>
      </c>
      <c r="J10" s="2">
        <v>313</v>
      </c>
      <c r="K10" s="2">
        <v>313</v>
      </c>
    </row>
    <row r="11" spans="1:11" ht="18" customHeight="1">
      <c r="F11" s="2" t="s">
        <v>23</v>
      </c>
      <c r="G11" s="2" t="s">
        <v>23</v>
      </c>
      <c r="I11" s="2" t="s">
        <v>24</v>
      </c>
      <c r="J11" s="2" t="s">
        <v>24</v>
      </c>
      <c r="K11" s="2" t="s">
        <v>23</v>
      </c>
    </row>
    <row r="12" spans="1:11" ht="18" customHeight="1">
      <c r="F12" s="2" t="s">
        <v>25</v>
      </c>
      <c r="G12" s="2" t="s">
        <v>26</v>
      </c>
      <c r="I12" s="2" t="s">
        <v>25</v>
      </c>
      <c r="J12" s="2" t="s">
        <v>26</v>
      </c>
      <c r="K12" s="2" t="s">
        <v>27</v>
      </c>
    </row>
    <row r="13" spans="1:11" ht="18" customHeight="1"/>
    <row r="14" spans="1:11" ht="18" customHeight="1">
      <c r="A14" s="10" t="s">
        <v>28</v>
      </c>
    </row>
    <row r="15" spans="1:11" ht="18" customHeight="1">
      <c r="A15" s="1" t="s">
        <v>29</v>
      </c>
      <c r="E15" s="2" t="s">
        <v>30</v>
      </c>
      <c r="F15" s="62">
        <v>420</v>
      </c>
      <c r="G15" s="62">
        <v>420</v>
      </c>
      <c r="H15" s="74" t="s">
        <v>30</v>
      </c>
      <c r="I15" s="62">
        <v>420</v>
      </c>
      <c r="J15" s="62">
        <v>420</v>
      </c>
      <c r="K15" s="62">
        <v>420</v>
      </c>
    </row>
    <row r="16" spans="1:11" ht="18" customHeight="1"/>
    <row r="17" spans="1:16">
      <c r="A17" s="1" t="s">
        <v>31</v>
      </c>
      <c r="F17" s="57">
        <f>ROUND((F15*F10/12),2)</f>
        <v>10955</v>
      </c>
      <c r="G17" s="57">
        <f>ROUND((G15*G10/12),2)</f>
        <v>10955</v>
      </c>
      <c r="H17" s="58"/>
      <c r="I17" s="57">
        <f>ROUND((I15*I10/12),2)</f>
        <v>10955</v>
      </c>
      <c r="J17" s="57">
        <f>ROUND((J15*J10/12),2)</f>
        <v>10955</v>
      </c>
      <c r="K17" s="57">
        <f>ROUND((K15*K10/12),2)</f>
        <v>10955</v>
      </c>
    </row>
    <row r="18" spans="1:16" ht="19.5" customHeight="1">
      <c r="A18" s="1" t="s">
        <v>32</v>
      </c>
      <c r="F18" s="57">
        <v>0</v>
      </c>
      <c r="G18" s="57">
        <f>ROUND(G17*10%*1/3,2)</f>
        <v>365.17</v>
      </c>
      <c r="H18" s="58"/>
      <c r="I18" s="57">
        <v>0</v>
      </c>
      <c r="J18" s="57">
        <f>+J17*10%*1/2</f>
        <v>547.75</v>
      </c>
      <c r="K18" s="57">
        <f>ROUND(K17*10%*1/3,2)</f>
        <v>365.17</v>
      </c>
    </row>
    <row r="19" spans="1:16" ht="18" customHeight="1">
      <c r="A19" s="1" t="s">
        <v>33</v>
      </c>
      <c r="F19" s="57">
        <f>ROUND((F15*365/12/12),2)</f>
        <v>1064.58</v>
      </c>
      <c r="G19" s="57">
        <f>ROUND((G15*365/12/12),2)</f>
        <v>1064.58</v>
      </c>
      <c r="H19" s="58"/>
      <c r="I19" s="57">
        <f>ROUND((I15*365/12/12),2)</f>
        <v>1064.58</v>
      </c>
      <c r="J19" s="57">
        <f>ROUND((J15*365/12/12),2)</f>
        <v>1064.58</v>
      </c>
      <c r="K19" s="57">
        <f>ROUND((K15*365/12/12),2)</f>
        <v>1064.58</v>
      </c>
    </row>
    <row r="20" spans="1:16" ht="18" customHeight="1">
      <c r="A20" s="1" t="s">
        <v>34</v>
      </c>
      <c r="F20" s="57">
        <f>ROUND(+F15*(5/12),2)</f>
        <v>175</v>
      </c>
      <c r="G20" s="57">
        <f>ROUND(+G15*(5/12),2)</f>
        <v>175</v>
      </c>
      <c r="H20" s="58"/>
      <c r="I20" s="13">
        <f>I15*(5/12)</f>
        <v>175</v>
      </c>
      <c r="J20" s="13">
        <f>J15*(5/12)</f>
        <v>175</v>
      </c>
      <c r="K20" s="57">
        <f>ROUND(+K15*(5/12),2)</f>
        <v>175</v>
      </c>
    </row>
    <row r="21" spans="1:16" ht="18" customHeight="1">
      <c r="A21" s="1" t="s">
        <v>35</v>
      </c>
      <c r="F21" s="57">
        <v>100</v>
      </c>
      <c r="G21" s="57">
        <v>100</v>
      </c>
      <c r="H21" s="58"/>
      <c r="I21" s="14">
        <v>100</v>
      </c>
      <c r="J21" s="57">
        <v>100</v>
      </c>
      <c r="K21" s="57">
        <v>100</v>
      </c>
    </row>
    <row r="22" spans="1:16" ht="21" customHeight="1">
      <c r="A22" s="1" t="s">
        <v>36</v>
      </c>
      <c r="F22" s="59">
        <v>0</v>
      </c>
      <c r="G22" s="59">
        <f>0*377/12</f>
        <v>0</v>
      </c>
      <c r="H22" s="60"/>
      <c r="I22" s="61">
        <f>+F54</f>
        <v>7176.5749999999998</v>
      </c>
      <c r="J22" s="61">
        <f>+J54</f>
        <v>7894.2324999999992</v>
      </c>
      <c r="K22" s="59">
        <f>0*377/12</f>
        <v>0</v>
      </c>
    </row>
    <row r="23" spans="1:16" ht="18" customHeight="1">
      <c r="F23" s="13">
        <f>ROUND(SUM(F17:F22),2)</f>
        <v>12294.58</v>
      </c>
      <c r="G23" s="13">
        <f>ROUND(SUM(G17:G22),2)</f>
        <v>12659.75</v>
      </c>
      <c r="H23" s="18"/>
      <c r="I23" s="13">
        <f>SUM(I17:I22)</f>
        <v>19471.154999999999</v>
      </c>
      <c r="J23" s="13">
        <f>SUM(J17:J22)</f>
        <v>20736.5625</v>
      </c>
      <c r="K23" s="13">
        <f>ROUND(SUM(K17:K22),2)</f>
        <v>12659.75</v>
      </c>
      <c r="N23" s="6"/>
      <c r="O23" s="6"/>
      <c r="P23" s="6"/>
    </row>
    <row r="24" spans="1:16" ht="18" customHeight="1">
      <c r="F24" s="13"/>
    </row>
    <row r="25" spans="1:16" ht="18" customHeight="1">
      <c r="A25" s="10" t="s">
        <v>37</v>
      </c>
    </row>
    <row r="26" spans="1:16" ht="18" customHeight="1">
      <c r="A26" s="1" t="s">
        <v>38</v>
      </c>
      <c r="E26" s="2" t="s">
        <v>30</v>
      </c>
      <c r="F26" s="62">
        <f>ROUND(+F15*22.5/12,2)</f>
        <v>787.5</v>
      </c>
      <c r="G26" s="62">
        <f>ROUND(+G15*22.5/12,2)</f>
        <v>787.5</v>
      </c>
      <c r="H26" s="2" t="s">
        <v>30</v>
      </c>
      <c r="I26" s="57">
        <f>+I15*22.5/12</f>
        <v>787.5</v>
      </c>
      <c r="J26" s="57">
        <f>+J15*22.5/12</f>
        <v>787.5</v>
      </c>
      <c r="K26" s="62">
        <f>ROUND(+K15*22.5/12,2)</f>
        <v>787.5</v>
      </c>
    </row>
    <row r="27" spans="1:16" ht="18" customHeight="1">
      <c r="A27" s="1" t="s">
        <v>39</v>
      </c>
      <c r="F27" s="62">
        <v>1045</v>
      </c>
      <c r="G27" s="62">
        <v>1092.5</v>
      </c>
      <c r="H27" s="62">
        <v>997.5</v>
      </c>
      <c r="I27" s="62">
        <v>1757.5</v>
      </c>
      <c r="J27" s="62">
        <v>1852.5</v>
      </c>
      <c r="K27" s="62">
        <v>1092.5</v>
      </c>
    </row>
    <row r="28" spans="1:16" ht="18" customHeight="1">
      <c r="A28" s="1" t="s">
        <v>40</v>
      </c>
      <c r="F28" s="62">
        <v>0</v>
      </c>
      <c r="G28" s="62">
        <v>0</v>
      </c>
      <c r="H28" s="58"/>
      <c r="I28" s="62">
        <v>0</v>
      </c>
      <c r="J28" s="62">
        <v>0</v>
      </c>
      <c r="K28" s="62">
        <v>0</v>
      </c>
    </row>
    <row r="29" spans="1:16" ht="18" customHeight="1">
      <c r="A29" s="1" t="s">
        <v>41</v>
      </c>
      <c r="F29" s="62">
        <f>ROUND((F17*0.05)/2,2)</f>
        <v>273.88</v>
      </c>
      <c r="G29" s="62">
        <f>ROUND((G17*0.05)/2,2)</f>
        <v>273.88</v>
      </c>
      <c r="H29" s="58"/>
      <c r="I29" s="57">
        <f>ROUND((I17*0.05/2),2)</f>
        <v>273.88</v>
      </c>
      <c r="J29" s="57">
        <f>ROUND((J17*0.05/2),2)</f>
        <v>273.88</v>
      </c>
      <c r="K29" s="62">
        <f>ROUND((K17*0.05)/2,2)</f>
        <v>273.88</v>
      </c>
    </row>
    <row r="30" spans="1:16" ht="18" customHeight="1">
      <c r="A30" s="1" t="s">
        <v>42</v>
      </c>
      <c r="F30" s="62">
        <v>10</v>
      </c>
      <c r="G30" s="62">
        <v>10</v>
      </c>
      <c r="H30" s="58"/>
      <c r="I30" s="57">
        <v>30</v>
      </c>
      <c r="J30" s="57">
        <v>30</v>
      </c>
      <c r="K30" s="62">
        <v>10</v>
      </c>
    </row>
    <row r="31" spans="1:16" ht="18" customHeight="1">
      <c r="A31" s="1" t="s">
        <v>43</v>
      </c>
      <c r="F31" s="63">
        <v>100</v>
      </c>
      <c r="G31" s="63">
        <v>100</v>
      </c>
      <c r="H31" s="60"/>
      <c r="I31" s="59">
        <v>100</v>
      </c>
      <c r="J31" s="59">
        <v>100</v>
      </c>
      <c r="K31" s="63">
        <v>100</v>
      </c>
    </row>
    <row r="32" spans="1:16" ht="18" customHeight="1">
      <c r="F32" s="21">
        <f>ROUND(SUM(F26:F31),2)</f>
        <v>2216.38</v>
      </c>
      <c r="G32" s="21">
        <f t="shared" ref="G32:K32" si="0">ROUND(SUM(G26:G31),2)</f>
        <v>2263.88</v>
      </c>
      <c r="H32" s="21">
        <f t="shared" si="0"/>
        <v>997.5</v>
      </c>
      <c r="I32" s="21">
        <f t="shared" si="0"/>
        <v>2948.88</v>
      </c>
      <c r="J32" s="21">
        <f t="shared" si="0"/>
        <v>3043.88</v>
      </c>
      <c r="K32" s="21">
        <f t="shared" si="0"/>
        <v>2263.88</v>
      </c>
    </row>
    <row r="33" spans="1:11" ht="18" customHeight="1"/>
    <row r="34" spans="1:11" ht="18" customHeight="1">
      <c r="F34" s="10"/>
      <c r="G34" s="10"/>
      <c r="H34" s="7"/>
      <c r="K34" s="10"/>
    </row>
    <row r="35" spans="1:11" ht="18" customHeight="1">
      <c r="A35" s="10" t="s">
        <v>44</v>
      </c>
      <c r="E35" s="2" t="s">
        <v>30</v>
      </c>
      <c r="F35" s="22">
        <f>ROUND(+F23+F32,2)</f>
        <v>14510.96</v>
      </c>
      <c r="G35" s="22">
        <f>ROUND(+G23+G32,2)</f>
        <v>14923.63</v>
      </c>
      <c r="H35" s="2" t="s">
        <v>30</v>
      </c>
      <c r="I35" s="22">
        <f>+I32+I23</f>
        <v>22420.035</v>
      </c>
      <c r="J35" s="22">
        <f>+J32+J23</f>
        <v>23780.442500000001</v>
      </c>
      <c r="K35" s="22">
        <f>ROUND(+K23+K32,2)</f>
        <v>14923.63</v>
      </c>
    </row>
    <row r="36" spans="1:11" ht="18" customHeight="1"/>
    <row r="37" spans="1:11" ht="18" customHeight="1" thickBot="1">
      <c r="A37" s="10" t="s">
        <v>45</v>
      </c>
    </row>
    <row r="38" spans="1:11">
      <c r="A38" s="109" t="s">
        <v>46</v>
      </c>
      <c r="B38" s="109"/>
      <c r="C38" s="109"/>
      <c r="D38" s="73"/>
      <c r="F38" s="65" t="str">
        <f>IF(D38="","-",IF(D38&lt;20%,"ERROR",IF(D38&gt;24%,"ERROR",ROUND(+F35*D38,2))))</f>
        <v>-</v>
      </c>
      <c r="G38" s="65" t="str">
        <f>IF(D38="","-",IF(D38&lt;20%,"ERROR",IF(D38&gt;24%,"ERROR",ROUND(+G35*D38,2))))</f>
        <v>-</v>
      </c>
      <c r="H38" s="65"/>
      <c r="I38" s="22">
        <f>I35*0.24</f>
        <v>5380.8083999999999</v>
      </c>
      <c r="J38" s="22">
        <f>J35*0.24</f>
        <v>5707.3062</v>
      </c>
      <c r="K38" s="65" t="str">
        <f>IF(D38="","-",IF(D38&lt;20%,"ERROR",IF(D38&gt;24%,"ERROR",ROUND(+K35*D38,2))))</f>
        <v>-</v>
      </c>
    </row>
    <row r="39" spans="1:11" ht="18" customHeight="1">
      <c r="F39" s="10"/>
      <c r="G39" s="10"/>
      <c r="H39" s="7"/>
      <c r="I39" s="10"/>
      <c r="J39" s="10"/>
      <c r="K39" s="10"/>
    </row>
    <row r="40" spans="1:11" ht="18" customHeight="1">
      <c r="A40" s="10" t="s">
        <v>47</v>
      </c>
      <c r="F40" s="64" t="e">
        <f>ROUND(+F38*0.12,2)</f>
        <v>#VALUE!</v>
      </c>
      <c r="G40" s="64" t="e">
        <f>ROUND(+G38*0.12,2)</f>
        <v>#VALUE!</v>
      </c>
      <c r="H40" s="65"/>
      <c r="I40" s="64">
        <f>+I38*0.12</f>
        <v>645.69700799999998</v>
      </c>
      <c r="J40" s="64">
        <f>+J38*0.12</f>
        <v>684.87674399999992</v>
      </c>
      <c r="K40" s="64" t="e">
        <f>ROUND(+K38*0.12,2)</f>
        <v>#VALUE!</v>
      </c>
    </row>
    <row r="41" spans="1:11" ht="18" customHeight="1"/>
    <row r="42" spans="1:11" ht="18" customHeight="1" thickBot="1">
      <c r="A42" s="10" t="s">
        <v>48</v>
      </c>
      <c r="E42" s="2" t="s">
        <v>30</v>
      </c>
      <c r="F42" s="66" t="e">
        <f>ROUND(+F35+F38+F40,2)</f>
        <v>#VALUE!</v>
      </c>
      <c r="G42" s="66" t="e">
        <f>ROUND(+G35+G38+G40,2)</f>
        <v>#VALUE!</v>
      </c>
      <c r="H42" s="2" t="s">
        <v>30</v>
      </c>
      <c r="I42" s="26">
        <f>I35+I38+I40</f>
        <v>28446.540407999997</v>
      </c>
      <c r="J42" s="26">
        <f>J35+J38+J40</f>
        <v>30172.625444000001</v>
      </c>
      <c r="K42" s="66" t="e">
        <f>ROUND(+K35+K38+K40,2)</f>
        <v>#VALUE!</v>
      </c>
    </row>
    <row r="43" spans="1:11" ht="18" customHeight="1" thickTop="1"/>
    <row r="44" spans="1:11" ht="18" hidden="1" customHeight="1"/>
    <row r="45" spans="1:11" hidden="1">
      <c r="F45" s="57"/>
      <c r="G45" s="57"/>
      <c r="H45" s="58"/>
      <c r="K45" s="57"/>
    </row>
    <row r="46" spans="1:11" hidden="1">
      <c r="B46" s="1" t="s">
        <v>49</v>
      </c>
      <c r="F46" s="13"/>
      <c r="G46" s="13"/>
      <c r="H46" s="18"/>
      <c r="I46" s="1" t="s">
        <v>50</v>
      </c>
      <c r="K46" s="13"/>
    </row>
    <row r="47" spans="1:11" hidden="1"/>
    <row r="48" spans="1:11" hidden="1">
      <c r="B48" s="1" t="s">
        <v>51</v>
      </c>
      <c r="C48" s="18">
        <f>F15/8</f>
        <v>52.5</v>
      </c>
      <c r="D48" s="18"/>
      <c r="I48" s="1" t="s">
        <v>51</v>
      </c>
      <c r="J48" s="18">
        <f>I15/8</f>
        <v>52.5</v>
      </c>
    </row>
    <row r="49" spans="1:11" hidden="1">
      <c r="A49" s="2">
        <v>295</v>
      </c>
      <c r="B49" s="1" t="s">
        <v>52</v>
      </c>
      <c r="F49" s="57">
        <f>ROUND((C48*1.25*A49*4),2)</f>
        <v>77437.5</v>
      </c>
      <c r="I49" s="1" t="s">
        <v>53</v>
      </c>
      <c r="J49" s="67">
        <f>ROUND((J48*1.375*A49*4),2)</f>
        <v>85181.25</v>
      </c>
    </row>
    <row r="50" spans="1:11" hidden="1">
      <c r="A50" s="2">
        <v>12</v>
      </c>
      <c r="B50" s="1" t="s">
        <v>54</v>
      </c>
      <c r="F50" s="57">
        <f>ROUND((C48*2.6*A50*4),2)</f>
        <v>6552</v>
      </c>
      <c r="I50" s="1" t="s">
        <v>55</v>
      </c>
      <c r="J50" s="67">
        <f>ROUND((J48*2.86*A50*4),2)</f>
        <v>7207.2</v>
      </c>
    </row>
    <row r="51" spans="1:11" hidden="1">
      <c r="A51" s="2">
        <v>6</v>
      </c>
      <c r="B51" s="1" t="s">
        <v>56</v>
      </c>
      <c r="F51" s="57">
        <f>ROUND((C48*1.69*A51*4),2)</f>
        <v>2129.4</v>
      </c>
      <c r="I51" s="1" t="s">
        <v>57</v>
      </c>
      <c r="J51" s="61">
        <f>ROUND((J48*1.859*A51*4),2)</f>
        <v>2342.34</v>
      </c>
    </row>
    <row r="52" spans="1:11" hidden="1">
      <c r="F52" s="28">
        <f>SUM(F49:F51)</f>
        <v>86118.9</v>
      </c>
      <c r="J52" s="67">
        <f>SUM(J49:J51)</f>
        <v>94730.79</v>
      </c>
    </row>
    <row r="53" spans="1:11" hidden="1">
      <c r="B53" s="1" t="s">
        <v>58</v>
      </c>
      <c r="F53" s="29">
        <v>12</v>
      </c>
      <c r="I53" s="1" t="s">
        <v>59</v>
      </c>
      <c r="J53" s="29">
        <v>12</v>
      </c>
    </row>
    <row r="54" spans="1:11" ht="16.5" hidden="1" thickBot="1">
      <c r="B54" s="1" t="s">
        <v>60</v>
      </c>
      <c r="F54" s="66">
        <f>F52/F53</f>
        <v>7176.5749999999998</v>
      </c>
      <c r="I54" s="1" t="s">
        <v>61</v>
      </c>
      <c r="J54" s="30">
        <f>J52/J53</f>
        <v>7894.2324999999992</v>
      </c>
    </row>
    <row r="55" spans="1:11" ht="16.5" hidden="1" thickTop="1">
      <c r="F55" s="13"/>
    </row>
    <row r="56" spans="1:11" hidden="1">
      <c r="B56" s="10" t="s">
        <v>62</v>
      </c>
      <c r="F56" s="13"/>
      <c r="I56" s="10"/>
    </row>
    <row r="57" spans="1:11" ht="15" hidden="1" customHeight="1">
      <c r="B57" s="1" t="s">
        <v>63</v>
      </c>
    </row>
    <row r="58" spans="1:11" hidden="1">
      <c r="B58" s="1" t="s">
        <v>64</v>
      </c>
    </row>
    <row r="59" spans="1:11" hidden="1"/>
    <row r="60" spans="1:11" ht="16.5" hidden="1" thickBot="1">
      <c r="B60" s="1" t="s">
        <v>65</v>
      </c>
      <c r="F60" s="68">
        <f>F23-F19</f>
        <v>11230</v>
      </c>
      <c r="G60" s="68">
        <f>G23-G19</f>
        <v>11595.17</v>
      </c>
      <c r="H60" s="69">
        <f t="shared" ref="H60" si="1">H23-H19</f>
        <v>0</v>
      </c>
      <c r="I60" s="68">
        <f>I23-I19</f>
        <v>18406.574999999997</v>
      </c>
      <c r="J60" s="68">
        <f>J23-J19</f>
        <v>19671.982499999998</v>
      </c>
      <c r="K60" s="68">
        <f>K23-K19</f>
        <v>11595.17</v>
      </c>
    </row>
    <row r="61" spans="1:11" ht="16.5" hidden="1" thickTop="1"/>
    <row r="62" spans="1:11" hidden="1"/>
    <row r="63" spans="1:11" hidden="1"/>
    <row r="64" spans="1:11">
      <c r="A64" s="10" t="s">
        <v>66</v>
      </c>
    </row>
    <row r="66" spans="1:14">
      <c r="A66" s="1" t="s">
        <v>67</v>
      </c>
      <c r="F66" s="2">
        <v>7</v>
      </c>
      <c r="G66" s="2">
        <v>4</v>
      </c>
      <c r="K66" s="2">
        <v>2</v>
      </c>
    </row>
    <row r="68" spans="1:14">
      <c r="A68" s="1" t="s">
        <v>68</v>
      </c>
      <c r="F68" s="34" t="e">
        <f>ROUND(F66*F42,2)</f>
        <v>#VALUE!</v>
      </c>
      <c r="G68" s="34" t="e">
        <f>ROUND(G66*G42,2)</f>
        <v>#VALUE!</v>
      </c>
      <c r="K68" s="34" t="e">
        <f>ROUND(K66*K42,2)</f>
        <v>#VALUE!</v>
      </c>
    </row>
    <row r="70" spans="1:14" ht="28.5" customHeight="1" thickBot="1">
      <c r="A70" s="109" t="s">
        <v>69</v>
      </c>
      <c r="B70" s="109"/>
      <c r="C70" s="109"/>
      <c r="D70" s="56"/>
      <c r="F70" s="75" t="e">
        <f>ROUND(F68*12,2)</f>
        <v>#VALUE!</v>
      </c>
      <c r="G70" s="75" t="e">
        <f>ROUND(G68*12,2)</f>
        <v>#VALUE!</v>
      </c>
      <c r="H70" s="71"/>
      <c r="I70" s="70"/>
      <c r="J70" s="70"/>
      <c r="K70" s="75" t="e">
        <f>ROUND(K68*12,2)</f>
        <v>#VALUE!</v>
      </c>
      <c r="N70" s="34"/>
    </row>
    <row r="71" spans="1:14" ht="19.5" customHeight="1" thickTop="1"/>
    <row r="72" spans="1:14" ht="19.5" thickBot="1">
      <c r="K72" s="76" t="e">
        <f>SUM(F70,G70,K70)</f>
        <v>#VALUE!</v>
      </c>
    </row>
    <row r="73" spans="1:14" ht="16.5" thickTop="1"/>
  </sheetData>
  <sheetProtection algorithmName="SHA-512" hashValue="McSakYH/nCkl8rL94NRQ+VLSqyFsQ4f2gcWVL0+lrCtq1pYQ72McNRR26dttJSaya5RBNI9SKFhC83sSANIv5Q==" saltValue="9XwTa0FQ5bi3rbV7+JpVWA==" spinCount="100000" sheet="1" objects="1" scenarios="1"/>
  <mergeCells count="6">
    <mergeCell ref="A70:C70"/>
    <mergeCell ref="F8:K8"/>
    <mergeCell ref="A38:C38"/>
    <mergeCell ref="A2:K2"/>
    <mergeCell ref="A3:K3"/>
    <mergeCell ref="A4:K4"/>
  </mergeCells>
  <conditionalFormatting sqref="D38">
    <cfRule type="containsBlanks" dxfId="4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3D0A-307B-41A1-AFA6-75C05FBA2E29}">
  <sheetPr>
    <pageSetUpPr fitToPage="1"/>
  </sheetPr>
  <dimension ref="A1:Q71"/>
  <sheetViews>
    <sheetView topLeftCell="C31" zoomScale="106" zoomScaleNormal="106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3.42578125" style="1" customWidth="1"/>
    <col min="4" max="4" width="8.140625" style="1" customWidth="1"/>
    <col min="5" max="5" width="3.42578125" style="2" customWidth="1"/>
    <col min="6" max="6" width="18.140625" style="1" customWidth="1"/>
    <col min="7" max="7" width="18" style="1" customWidth="1"/>
    <col min="8" max="8" width="3.42578125" style="2" hidden="1" customWidth="1"/>
    <col min="9" max="9" width="21.85546875" style="1" hidden="1" customWidth="1"/>
    <col min="10" max="10" width="22" style="1" hidden="1" customWidth="1"/>
    <col min="11" max="11" width="9.140625" style="1" hidden="1" customWidth="1"/>
    <col min="12" max="12" width="18" style="1" customWidth="1"/>
    <col min="13" max="14" width="9.140625" style="1"/>
    <col min="15" max="15" width="11.85546875" style="1" bestFit="1" customWidth="1"/>
    <col min="16" max="16" width="11.85546875" style="1" customWidth="1"/>
    <col min="17" max="17" width="11.42578125" style="1" customWidth="1"/>
    <col min="18" max="16384" width="9.140625" style="1"/>
  </cols>
  <sheetData>
    <row r="1" spans="1:12">
      <c r="A1" s="3"/>
      <c r="B1" s="3"/>
      <c r="C1" s="3"/>
      <c r="D1" s="3"/>
      <c r="E1" s="4"/>
      <c r="F1" s="3"/>
      <c r="G1" s="3"/>
      <c r="H1" s="4"/>
      <c r="I1" s="3"/>
      <c r="J1" s="3"/>
      <c r="L1" s="3"/>
    </row>
    <row r="2" spans="1:12">
      <c r="A2" s="110" t="s">
        <v>120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>
      <c r="A3" s="111" t="s">
        <v>70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>
      <c r="A4" s="111" t="s">
        <v>121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>
      <c r="I5" s="1" t="s">
        <v>18</v>
      </c>
    </row>
    <row r="7" spans="1:12">
      <c r="I7" s="1" t="s">
        <v>18</v>
      </c>
    </row>
    <row r="8" spans="1:12" ht="18" customHeight="1">
      <c r="F8" s="110" t="s">
        <v>71</v>
      </c>
      <c r="G8" s="110"/>
      <c r="H8" s="110"/>
      <c r="I8" s="110"/>
      <c r="J8" s="110"/>
      <c r="K8" s="110"/>
      <c r="L8" s="110"/>
    </row>
    <row r="9" spans="1:12" ht="18" customHeight="1">
      <c r="A9" s="1" t="s">
        <v>20</v>
      </c>
      <c r="F9" s="2" t="s">
        <v>21</v>
      </c>
      <c r="G9" s="2" t="s">
        <v>21</v>
      </c>
      <c r="I9" s="2" t="s">
        <v>21</v>
      </c>
      <c r="J9" s="2" t="s">
        <v>21</v>
      </c>
      <c r="L9" s="2" t="s">
        <v>21</v>
      </c>
    </row>
    <row r="10" spans="1:12" ht="18" customHeight="1">
      <c r="A10" s="1" t="s">
        <v>22</v>
      </c>
      <c r="F10" s="2">
        <v>313</v>
      </c>
      <c r="G10" s="2">
        <v>313</v>
      </c>
      <c r="I10" s="2">
        <v>313</v>
      </c>
      <c r="J10" s="2">
        <v>313</v>
      </c>
      <c r="L10" s="2">
        <v>313</v>
      </c>
    </row>
    <row r="11" spans="1:12" ht="18" customHeight="1">
      <c r="F11" s="2" t="s">
        <v>23</v>
      </c>
      <c r="G11" s="2" t="s">
        <v>23</v>
      </c>
      <c r="I11" s="2" t="s">
        <v>24</v>
      </c>
      <c r="J11" s="2" t="s">
        <v>24</v>
      </c>
      <c r="L11" s="2" t="s">
        <v>23</v>
      </c>
    </row>
    <row r="12" spans="1:12" ht="18" customHeight="1">
      <c r="F12" s="2" t="s">
        <v>25</v>
      </c>
      <c r="G12" s="2" t="s">
        <v>26</v>
      </c>
      <c r="I12" s="2" t="s">
        <v>25</v>
      </c>
      <c r="J12" s="2" t="s">
        <v>26</v>
      </c>
      <c r="L12" s="2" t="s">
        <v>27</v>
      </c>
    </row>
    <row r="13" spans="1:12" ht="18" customHeight="1"/>
    <row r="14" spans="1:12" ht="18" customHeight="1">
      <c r="A14" s="10" t="s">
        <v>28</v>
      </c>
    </row>
    <row r="15" spans="1:12" ht="18" customHeight="1">
      <c r="A15" s="1" t="s">
        <v>29</v>
      </c>
      <c r="E15" s="2" t="s">
        <v>30</v>
      </c>
      <c r="F15" s="57">
        <v>405</v>
      </c>
      <c r="G15" s="57">
        <v>405</v>
      </c>
      <c r="H15" s="2" t="s">
        <v>30</v>
      </c>
      <c r="I15" s="57">
        <v>375</v>
      </c>
      <c r="J15" s="57">
        <v>375</v>
      </c>
      <c r="L15" s="57">
        <v>405</v>
      </c>
    </row>
    <row r="16" spans="1:12" ht="18" customHeight="1"/>
    <row r="17" spans="1:17">
      <c r="A17" s="1" t="s">
        <v>31</v>
      </c>
      <c r="F17" s="57">
        <f>ROUND((F15*F10/12),2)</f>
        <v>10563.75</v>
      </c>
      <c r="G17" s="57">
        <f>ROUND((G15*G10/12),2)</f>
        <v>10563.75</v>
      </c>
      <c r="H17" s="58"/>
      <c r="I17" s="57">
        <f>ROUND((I15*I10/12),2)</f>
        <v>9781.25</v>
      </c>
      <c r="J17" s="57">
        <f>ROUND((J15*J10/12),2)</f>
        <v>9781.25</v>
      </c>
      <c r="L17" s="57">
        <f>ROUND((L15*L10/12),2)</f>
        <v>10563.75</v>
      </c>
    </row>
    <row r="18" spans="1:17" ht="19.5" customHeight="1">
      <c r="A18" s="1" t="s">
        <v>32</v>
      </c>
      <c r="F18" s="57">
        <v>0</v>
      </c>
      <c r="G18" s="57">
        <f>ROUND(G17*10%*1/3,2)</f>
        <v>352.13</v>
      </c>
      <c r="H18" s="58"/>
      <c r="I18" s="57">
        <v>0</v>
      </c>
      <c r="J18" s="57">
        <f>+J17*10%*1/2</f>
        <v>489.0625</v>
      </c>
      <c r="L18" s="57">
        <f>ROUND(L17*10%*1/3,2)</f>
        <v>352.13</v>
      </c>
    </row>
    <row r="19" spans="1:17" ht="18" customHeight="1">
      <c r="A19" s="1" t="s">
        <v>33</v>
      </c>
      <c r="F19" s="57">
        <f>ROUND((F15*365/12/12),2)</f>
        <v>1026.56</v>
      </c>
      <c r="G19" s="57">
        <f>ROUND((G15*365/12/12),2)</f>
        <v>1026.56</v>
      </c>
      <c r="H19" s="58"/>
      <c r="I19" s="57">
        <f>ROUND((I15*365/12/12),2)</f>
        <v>950.52</v>
      </c>
      <c r="J19" s="57">
        <f>ROUND((J15*365/12/12),2)</f>
        <v>950.52</v>
      </c>
      <c r="L19" s="57">
        <f>ROUND((L15*365/12/12),2)</f>
        <v>1026.56</v>
      </c>
    </row>
    <row r="20" spans="1:17" ht="18" customHeight="1">
      <c r="A20" s="1" t="s">
        <v>34</v>
      </c>
      <c r="F20" s="57">
        <f>ROUND(+F15*(5/12),2)</f>
        <v>168.75</v>
      </c>
      <c r="G20" s="57">
        <f>ROUND(+G15*(5/12),2)</f>
        <v>168.75</v>
      </c>
      <c r="H20" s="58"/>
      <c r="I20" s="13">
        <f>I15*(5/12)</f>
        <v>156.25</v>
      </c>
      <c r="J20" s="13">
        <f>J15*(5/12)</f>
        <v>156.25</v>
      </c>
      <c r="L20" s="57">
        <f>ROUND(+L15*(5/12),2)</f>
        <v>168.75</v>
      </c>
    </row>
    <row r="21" spans="1:17" ht="18" customHeight="1">
      <c r="A21" s="1" t="s">
        <v>35</v>
      </c>
      <c r="F21" s="57">
        <v>100</v>
      </c>
      <c r="G21" s="57">
        <v>100</v>
      </c>
      <c r="H21" s="58"/>
      <c r="I21" s="14">
        <v>100</v>
      </c>
      <c r="J21" s="57">
        <v>100</v>
      </c>
      <c r="L21" s="57">
        <v>100</v>
      </c>
    </row>
    <row r="22" spans="1:17" ht="21" customHeight="1">
      <c r="A22" s="1" t="s">
        <v>36</v>
      </c>
      <c r="F22" s="59">
        <v>0</v>
      </c>
      <c r="G22" s="59">
        <f>0*377/12</f>
        <v>0</v>
      </c>
      <c r="H22" s="60"/>
      <c r="I22" s="61">
        <f>+F54</f>
        <v>6920.2691666666678</v>
      </c>
      <c r="J22" s="61">
        <f>+J54</f>
        <v>7048.4225000000006</v>
      </c>
      <c r="L22" s="59">
        <f>0*377/12</f>
        <v>0</v>
      </c>
    </row>
    <row r="23" spans="1:17" ht="18" customHeight="1">
      <c r="F23" s="13">
        <f>ROUND(SUM(F17:F22),2)</f>
        <v>11859.06</v>
      </c>
      <c r="G23" s="13">
        <f>ROUND(SUM(G17:G22),2)</f>
        <v>12211.19</v>
      </c>
      <c r="H23" s="18"/>
      <c r="I23" s="13">
        <f>SUM(I17:I22)</f>
        <v>17908.289166666669</v>
      </c>
      <c r="J23" s="13">
        <f>SUM(J17:J22)</f>
        <v>18525.505000000001</v>
      </c>
      <c r="L23" s="13">
        <f>ROUND(SUM(L17:L22),2)</f>
        <v>12211.19</v>
      </c>
      <c r="O23" s="6"/>
      <c r="P23" s="6"/>
      <c r="Q23" s="6"/>
    </row>
    <row r="24" spans="1:17" ht="18" customHeight="1">
      <c r="F24" s="13"/>
      <c r="I24" s="13"/>
      <c r="J24" s="13"/>
    </row>
    <row r="25" spans="1:17" ht="18" customHeight="1">
      <c r="A25" s="10" t="s">
        <v>37</v>
      </c>
      <c r="F25" s="13"/>
      <c r="G25" s="13"/>
      <c r="L25" s="13"/>
    </row>
    <row r="26" spans="1:17" ht="18" customHeight="1">
      <c r="A26" s="1" t="s">
        <v>38</v>
      </c>
      <c r="E26" s="2" t="s">
        <v>30</v>
      </c>
      <c r="F26" s="62">
        <f>ROUND(+F15*22.5/12,2)</f>
        <v>759.38</v>
      </c>
      <c r="G26" s="62">
        <f>ROUND(+G15*22.5/12,2)</f>
        <v>759.38</v>
      </c>
      <c r="H26" s="2" t="s">
        <v>30</v>
      </c>
      <c r="I26" s="57">
        <f>+I15*22.5/12</f>
        <v>703.125</v>
      </c>
      <c r="J26" s="57">
        <f>+J15*22.5/12</f>
        <v>703.125</v>
      </c>
      <c r="L26" s="62">
        <f>ROUND(+L15*22.5/12,2)</f>
        <v>759.38</v>
      </c>
    </row>
    <row r="27" spans="1:17" ht="18" customHeight="1">
      <c r="A27" s="1" t="s">
        <v>39</v>
      </c>
      <c r="F27" s="62">
        <v>1045</v>
      </c>
      <c r="G27" s="62">
        <v>1045</v>
      </c>
      <c r="H27" s="58"/>
      <c r="I27" s="62">
        <v>1567.5</v>
      </c>
      <c r="J27" s="62">
        <v>1662.5</v>
      </c>
      <c r="L27" s="62">
        <v>1045</v>
      </c>
    </row>
    <row r="28" spans="1:17" ht="18" customHeight="1">
      <c r="A28" s="1" t="s">
        <v>40</v>
      </c>
      <c r="F28" s="62">
        <v>0</v>
      </c>
      <c r="G28" s="62">
        <v>0</v>
      </c>
      <c r="H28" s="58"/>
      <c r="I28" s="62">
        <v>0</v>
      </c>
      <c r="J28" s="62">
        <v>0</v>
      </c>
      <c r="L28" s="62">
        <v>0</v>
      </c>
    </row>
    <row r="29" spans="1:17" ht="18" customHeight="1">
      <c r="A29" s="1" t="s">
        <v>72</v>
      </c>
      <c r="F29" s="62">
        <f>ROUND((F17*0.05)/2,2)</f>
        <v>264.08999999999997</v>
      </c>
      <c r="G29" s="62">
        <f>ROUND((G17*0.05)/2,2)</f>
        <v>264.08999999999997</v>
      </c>
      <c r="H29" s="58"/>
      <c r="I29" s="57">
        <f>ROUND((I17*0.05/2),2)</f>
        <v>244.53</v>
      </c>
      <c r="J29" s="57">
        <f>ROUND((J17*0.05/2),2)</f>
        <v>244.53</v>
      </c>
      <c r="L29" s="62">
        <f>ROUND((L17*0.05)/2,2)</f>
        <v>264.08999999999997</v>
      </c>
    </row>
    <row r="30" spans="1:17" ht="18" customHeight="1">
      <c r="A30" s="1" t="s">
        <v>42</v>
      </c>
      <c r="F30" s="62">
        <v>10</v>
      </c>
      <c r="G30" s="62">
        <v>10</v>
      </c>
      <c r="H30" s="58"/>
      <c r="I30" s="57">
        <v>30</v>
      </c>
      <c r="J30" s="57">
        <v>30</v>
      </c>
      <c r="L30" s="62">
        <v>10</v>
      </c>
    </row>
    <row r="31" spans="1:17" ht="18" customHeight="1">
      <c r="A31" s="1" t="s">
        <v>43</v>
      </c>
      <c r="F31" s="63">
        <v>100</v>
      </c>
      <c r="G31" s="63">
        <v>100</v>
      </c>
      <c r="H31" s="60"/>
      <c r="I31" s="59">
        <v>100</v>
      </c>
      <c r="J31" s="59">
        <v>100</v>
      </c>
      <c r="L31" s="63">
        <v>100</v>
      </c>
    </row>
    <row r="32" spans="1:17" ht="18" customHeight="1">
      <c r="F32" s="21">
        <f>ROUND(SUM(F26:F31),2)</f>
        <v>2178.4699999999998</v>
      </c>
      <c r="G32" s="21">
        <f>ROUND(SUM(G26:G31),2)</f>
        <v>2178.4699999999998</v>
      </c>
      <c r="H32" s="18"/>
      <c r="I32" s="13">
        <f>SUM(I26:I31)</f>
        <v>2645.1550000000002</v>
      </c>
      <c r="J32" s="13">
        <f>SUM(J26:J31)</f>
        <v>2740.1550000000002</v>
      </c>
      <c r="L32" s="21">
        <f>ROUND(SUM(L26:L31),2)</f>
        <v>2178.4699999999998</v>
      </c>
    </row>
    <row r="33" spans="1:12" ht="18" customHeight="1"/>
    <row r="34" spans="1:12" ht="18" customHeight="1">
      <c r="F34" s="10"/>
      <c r="G34" s="10"/>
      <c r="H34" s="7"/>
      <c r="L34" s="10"/>
    </row>
    <row r="35" spans="1:12" ht="18" customHeight="1">
      <c r="A35" s="10" t="s">
        <v>44</v>
      </c>
      <c r="E35" s="2" t="s">
        <v>30</v>
      </c>
      <c r="F35" s="22">
        <f>ROUND(+F23+F32,2)</f>
        <v>14037.53</v>
      </c>
      <c r="G35" s="22">
        <f>ROUND(+G23+G32,2)</f>
        <v>14389.66</v>
      </c>
      <c r="H35" s="2" t="s">
        <v>30</v>
      </c>
      <c r="I35" s="22">
        <f>+I32+I23</f>
        <v>20553.444166666668</v>
      </c>
      <c r="J35" s="22">
        <f>+J32+J23</f>
        <v>21265.66</v>
      </c>
      <c r="L35" s="22">
        <f>ROUND(+L23+L32,2)</f>
        <v>14389.66</v>
      </c>
    </row>
    <row r="36" spans="1:12" ht="18" customHeight="1"/>
    <row r="37" spans="1:12" ht="18" customHeight="1" thickBot="1">
      <c r="A37" s="10" t="s">
        <v>45</v>
      </c>
    </row>
    <row r="38" spans="1:12">
      <c r="A38" s="109" t="s">
        <v>46</v>
      </c>
      <c r="B38" s="109"/>
      <c r="C38" s="109"/>
      <c r="D38" s="73"/>
      <c r="F38" s="65" t="str">
        <f>IF(D38="","-",IF(D38&lt;20%,"ERROR",IF(D38&gt;24%,"ERROR",ROUND(+F35*D38,2))))</f>
        <v>-</v>
      </c>
      <c r="G38" s="65" t="str">
        <f>IF(D38="","-",IF(D38&lt;20%,"ERROR",IF(D38&gt;24%,"ERROR",ROUND(+G35*D38,2))))</f>
        <v>-</v>
      </c>
      <c r="H38" s="65"/>
      <c r="I38" s="100">
        <f>I35*0.24</f>
        <v>4932.8266000000003</v>
      </c>
      <c r="J38" s="100">
        <f>J35*0.24</f>
        <v>5103.7583999999997</v>
      </c>
      <c r="K38" s="2"/>
      <c r="L38" s="65" t="str">
        <f>IF(D38="","-",IF(D38&lt;20%,"ERROR",IF(D38&gt;24%,"ERROR",ROUND(+L35*D38,2))))</f>
        <v>-</v>
      </c>
    </row>
    <row r="39" spans="1:12" ht="18" customHeight="1">
      <c r="F39" s="10"/>
      <c r="G39" s="10"/>
      <c r="H39" s="7"/>
      <c r="I39" s="10"/>
      <c r="J39" s="10"/>
      <c r="L39" s="10"/>
    </row>
    <row r="40" spans="1:12" ht="18" customHeight="1">
      <c r="A40" s="10" t="s">
        <v>47</v>
      </c>
      <c r="F40" s="64" t="e">
        <f>ROUND(+F38*0.12,2)</f>
        <v>#VALUE!</v>
      </c>
      <c r="G40" s="64" t="e">
        <f>ROUND(+G38*0.12,2)</f>
        <v>#VALUE!</v>
      </c>
      <c r="H40" s="65"/>
      <c r="I40" s="64">
        <f>+I38*0.12</f>
        <v>591.93919200000005</v>
      </c>
      <c r="J40" s="64">
        <f>+J38*0.12</f>
        <v>612.45100799999989</v>
      </c>
      <c r="L40" s="64" t="e">
        <f>ROUND(+L38*0.12,2)</f>
        <v>#VALUE!</v>
      </c>
    </row>
    <row r="41" spans="1:12" ht="18" customHeight="1"/>
    <row r="42" spans="1:12" ht="18" customHeight="1" thickBot="1">
      <c r="A42" s="10" t="s">
        <v>48</v>
      </c>
      <c r="E42" s="2" t="s">
        <v>30</v>
      </c>
      <c r="F42" s="66" t="e">
        <f>ROUND(+F35+F38+F40,2)</f>
        <v>#VALUE!</v>
      </c>
      <c r="G42" s="66" t="e">
        <f>ROUND(+G35+G38+G40,2)</f>
        <v>#VALUE!</v>
      </c>
      <c r="H42" s="2" t="s">
        <v>30</v>
      </c>
      <c r="I42" s="26">
        <f>I35+I38+I40</f>
        <v>26078.20995866667</v>
      </c>
      <c r="J42" s="26">
        <f>J35+J38+J40</f>
        <v>26981.869407999999</v>
      </c>
      <c r="L42" s="66" t="e">
        <f>ROUND(+L35+L38+L40,2)</f>
        <v>#VALUE!</v>
      </c>
    </row>
    <row r="43" spans="1:12" ht="18" customHeight="1" thickTop="1"/>
    <row r="44" spans="1:12" ht="18" hidden="1" customHeight="1"/>
    <row r="45" spans="1:12" hidden="1">
      <c r="F45" s="57"/>
      <c r="G45" s="57"/>
      <c r="H45" s="58"/>
      <c r="L45" s="57"/>
    </row>
    <row r="46" spans="1:12" hidden="1">
      <c r="B46" s="1" t="s">
        <v>49</v>
      </c>
      <c r="F46" s="13"/>
      <c r="G46" s="13"/>
      <c r="H46" s="18"/>
      <c r="I46" s="1" t="s">
        <v>50</v>
      </c>
      <c r="L46" s="13"/>
    </row>
    <row r="47" spans="1:12" hidden="1"/>
    <row r="48" spans="1:12" hidden="1">
      <c r="B48" s="1" t="s">
        <v>51</v>
      </c>
      <c r="C48" s="18">
        <f>F15/8</f>
        <v>50.625</v>
      </c>
      <c r="D48" s="18"/>
      <c r="I48" s="1" t="s">
        <v>51</v>
      </c>
      <c r="J48" s="18">
        <f>I15/8</f>
        <v>46.875</v>
      </c>
    </row>
    <row r="49" spans="1:12" hidden="1">
      <c r="A49" s="2">
        <v>295</v>
      </c>
      <c r="B49" s="1" t="s">
        <v>52</v>
      </c>
      <c r="F49" s="57">
        <f>ROUND((C48*1.25*A49*4),2)</f>
        <v>74671.88</v>
      </c>
      <c r="I49" s="1" t="s">
        <v>53</v>
      </c>
      <c r="J49" s="67">
        <f>ROUND((J48*1.375*A49*4),2)</f>
        <v>76054.69</v>
      </c>
    </row>
    <row r="50" spans="1:12" hidden="1">
      <c r="A50" s="2">
        <v>12</v>
      </c>
      <c r="B50" s="1" t="s">
        <v>54</v>
      </c>
      <c r="F50" s="57">
        <f>ROUND((C48*2.6*A50*4),2)</f>
        <v>6318</v>
      </c>
      <c r="I50" s="1" t="s">
        <v>55</v>
      </c>
      <c r="J50" s="67">
        <f>ROUND((J48*2.86*A50*4),2)</f>
        <v>6435</v>
      </c>
    </row>
    <row r="51" spans="1:12" hidden="1">
      <c r="A51" s="2">
        <v>6</v>
      </c>
      <c r="B51" s="1" t="s">
        <v>56</v>
      </c>
      <c r="F51" s="57">
        <f>ROUND((C48*1.69*A51*4),2)</f>
        <v>2053.35</v>
      </c>
      <c r="I51" s="1" t="s">
        <v>57</v>
      </c>
      <c r="J51" s="61">
        <f>ROUND((J48*1.859*A51*4),2)</f>
        <v>2091.38</v>
      </c>
    </row>
    <row r="52" spans="1:12" hidden="1">
      <c r="F52" s="28">
        <f>SUM(F49:F51)</f>
        <v>83043.23000000001</v>
      </c>
      <c r="J52" s="67">
        <f>SUM(J49:J51)</f>
        <v>84581.07</v>
      </c>
    </row>
    <row r="53" spans="1:12" hidden="1">
      <c r="B53" s="1" t="s">
        <v>58</v>
      </c>
      <c r="F53" s="29">
        <v>12</v>
      </c>
      <c r="I53" s="1" t="s">
        <v>59</v>
      </c>
      <c r="J53" s="29">
        <v>12</v>
      </c>
    </row>
    <row r="54" spans="1:12" ht="16.5" hidden="1" thickBot="1">
      <c r="B54" s="1" t="s">
        <v>60</v>
      </c>
      <c r="F54" s="66">
        <f>F52/F53</f>
        <v>6920.2691666666678</v>
      </c>
      <c r="I54" s="1" t="s">
        <v>61</v>
      </c>
      <c r="J54" s="30">
        <f>J52/J53</f>
        <v>7048.4225000000006</v>
      </c>
    </row>
    <row r="55" spans="1:12" ht="16.5" hidden="1" thickTop="1">
      <c r="F55" s="13"/>
    </row>
    <row r="56" spans="1:12" hidden="1">
      <c r="B56" s="10" t="s">
        <v>62</v>
      </c>
      <c r="F56" s="13"/>
      <c r="I56" s="10"/>
    </row>
    <row r="57" spans="1:12" ht="15" hidden="1" customHeight="1">
      <c r="B57" s="1" t="s">
        <v>63</v>
      </c>
    </row>
    <row r="58" spans="1:12" hidden="1">
      <c r="B58" s="1" t="s">
        <v>64</v>
      </c>
    </row>
    <row r="59" spans="1:12" hidden="1"/>
    <row r="60" spans="1:12" ht="16.5" hidden="1" thickBot="1">
      <c r="B60" s="1" t="s">
        <v>65</v>
      </c>
      <c r="F60" s="68">
        <f>F23-F19</f>
        <v>10832.5</v>
      </c>
      <c r="G60" s="68">
        <f>G23-G19</f>
        <v>11184.630000000001</v>
      </c>
      <c r="H60" s="69"/>
      <c r="I60" s="68">
        <f>I23-I19</f>
        <v>16957.769166666669</v>
      </c>
      <c r="J60" s="68">
        <f>J23-J19</f>
        <v>17574.985000000001</v>
      </c>
      <c r="L60" s="68">
        <f>L23-L19</f>
        <v>11184.630000000001</v>
      </c>
    </row>
    <row r="61" spans="1:12" ht="16.5" hidden="1" thickTop="1"/>
    <row r="62" spans="1:12">
      <c r="A62" s="10" t="s">
        <v>73</v>
      </c>
    </row>
    <row r="64" spans="1:12">
      <c r="A64" s="1" t="s">
        <v>67</v>
      </c>
      <c r="F64" s="2">
        <v>2</v>
      </c>
      <c r="G64" s="2">
        <v>1</v>
      </c>
      <c r="L64" s="2">
        <v>1</v>
      </c>
    </row>
    <row r="66" spans="1:15">
      <c r="A66" s="1" t="s">
        <v>68</v>
      </c>
      <c r="F66" s="34" t="e">
        <f>ROUND(F42*F64,2)</f>
        <v>#VALUE!</v>
      </c>
      <c r="G66" s="34" t="e">
        <f>ROUND(G42*G64,2)</f>
        <v>#VALUE!</v>
      </c>
      <c r="L66" s="34" t="e">
        <f>ROUND(L42*L64,2)</f>
        <v>#VALUE!</v>
      </c>
    </row>
    <row r="68" spans="1:15" ht="30.75" customHeight="1" thickBot="1">
      <c r="A68" s="109" t="s">
        <v>74</v>
      </c>
      <c r="B68" s="109"/>
      <c r="C68" s="109"/>
      <c r="D68" s="56"/>
      <c r="F68" s="75" t="e">
        <f>ROUND(F66*12,2)</f>
        <v>#VALUE!</v>
      </c>
      <c r="G68" s="75" t="e">
        <f>ROUND(G66*12,2)</f>
        <v>#VALUE!</v>
      </c>
      <c r="H68" s="71"/>
      <c r="I68" s="70"/>
      <c r="J68" s="70"/>
      <c r="K68" s="70"/>
      <c r="L68" s="75" t="e">
        <f>ROUND(L66*12,2)</f>
        <v>#VALUE!</v>
      </c>
      <c r="O68" s="34"/>
    </row>
    <row r="69" spans="1:15" ht="16.5" thickTop="1"/>
    <row r="70" spans="1:15" ht="19.5" thickBot="1">
      <c r="L70" s="76" t="e">
        <f>SUM(F68:G68,L68)</f>
        <v>#VALUE!</v>
      </c>
    </row>
    <row r="71" spans="1:15" ht="16.5" thickTop="1"/>
  </sheetData>
  <sheetProtection algorithmName="SHA-512" hashValue="mqu7Y3BQIcR3m4zGsDb0E64ObCjJwTizurBK9mTdAiTxGBE9vG65Dkn6qNQxV/4OjKkAQh+iWckBj/5PWaPWqw==" saltValue="NYr41guzNxj1Bw8KoLuP9Q==" spinCount="100000" sheet="1" objects="1" scenarios="1"/>
  <mergeCells count="6">
    <mergeCell ref="A68:C68"/>
    <mergeCell ref="F8:L8"/>
    <mergeCell ref="A38:C38"/>
    <mergeCell ref="A2:L2"/>
    <mergeCell ref="A3:L3"/>
    <mergeCell ref="A4:L4"/>
  </mergeCells>
  <conditionalFormatting sqref="D38">
    <cfRule type="containsBlanks" dxfId="3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231C-8551-46D4-AD0B-1DEB031C5423}">
  <sheetPr>
    <pageSetUpPr fitToPage="1"/>
  </sheetPr>
  <dimension ref="A2:Q69"/>
  <sheetViews>
    <sheetView topLeftCell="A29" zoomScaleNormal="100" workbookViewId="0">
      <selection activeCell="D36" sqref="D36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2.28515625" style="1" customWidth="1"/>
    <col min="4" max="4" width="8.5703125" style="1" customWidth="1"/>
    <col min="5" max="5" width="3.42578125" style="2" hidden="1" customWidth="1"/>
    <col min="6" max="6" width="18.140625" style="1" hidden="1" customWidth="1"/>
    <col min="7" max="7" width="18" style="1" hidden="1" customWidth="1"/>
    <col min="8" max="8" width="3.42578125" style="2" customWidth="1"/>
    <col min="9" max="9" width="21.85546875" style="1" customWidth="1"/>
    <col min="10" max="10" width="22" style="1" customWidth="1"/>
    <col min="11" max="11" width="9.140625" style="1" hidden="1" customWidth="1"/>
    <col min="12" max="12" width="18" style="1" customWidth="1"/>
    <col min="13" max="14" width="9.140625" style="1"/>
    <col min="15" max="15" width="11.85546875" style="1" bestFit="1" customWidth="1"/>
    <col min="16" max="16" width="11.85546875" style="1" customWidth="1"/>
    <col min="17" max="17" width="11.42578125" style="1" customWidth="1"/>
    <col min="18" max="16384" width="9.140625" style="1"/>
  </cols>
  <sheetData>
    <row r="2" spans="1:12">
      <c r="A2" s="110" t="s">
        <v>75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>
      <c r="A3" s="111" t="s">
        <v>76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>
      <c r="A4" s="111" t="s">
        <v>77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>
      <c r="I5" s="1" t="s">
        <v>18</v>
      </c>
    </row>
    <row r="6" spans="1:12" ht="18" customHeight="1">
      <c r="F6" s="110" t="s">
        <v>78</v>
      </c>
      <c r="G6" s="110"/>
      <c r="H6" s="110"/>
      <c r="I6" s="110"/>
      <c r="J6" s="110"/>
      <c r="K6" s="110"/>
      <c r="L6" s="110"/>
    </row>
    <row r="7" spans="1:12" ht="18" customHeight="1">
      <c r="A7" s="1" t="s">
        <v>20</v>
      </c>
      <c r="F7" s="2" t="s">
        <v>21</v>
      </c>
      <c r="G7" s="2" t="s">
        <v>21</v>
      </c>
      <c r="I7" s="2" t="s">
        <v>21</v>
      </c>
      <c r="J7" s="2" t="s">
        <v>21</v>
      </c>
      <c r="L7" s="2" t="s">
        <v>21</v>
      </c>
    </row>
    <row r="8" spans="1:12" ht="18" customHeight="1">
      <c r="A8" s="1" t="s">
        <v>22</v>
      </c>
      <c r="F8" s="2">
        <v>313</v>
      </c>
      <c r="G8" s="2">
        <v>313</v>
      </c>
      <c r="I8" s="2">
        <v>313</v>
      </c>
      <c r="J8" s="2">
        <v>313</v>
      </c>
      <c r="L8" s="2">
        <v>313</v>
      </c>
    </row>
    <row r="9" spans="1:12" ht="18" customHeight="1">
      <c r="F9" s="2" t="s">
        <v>23</v>
      </c>
      <c r="G9" s="2" t="s">
        <v>23</v>
      </c>
      <c r="I9" s="2" t="s">
        <v>24</v>
      </c>
      <c r="J9" s="2" t="s">
        <v>24</v>
      </c>
      <c r="L9" s="2" t="s">
        <v>24</v>
      </c>
    </row>
    <row r="10" spans="1:12" ht="18" customHeight="1">
      <c r="F10" s="2" t="s">
        <v>25</v>
      </c>
      <c r="G10" s="2" t="s">
        <v>26</v>
      </c>
      <c r="I10" s="2" t="s">
        <v>25</v>
      </c>
      <c r="J10" s="2" t="s">
        <v>26</v>
      </c>
      <c r="L10" s="2" t="s">
        <v>27</v>
      </c>
    </row>
    <row r="11" spans="1:12" ht="18" customHeight="1"/>
    <row r="12" spans="1:12" ht="18" customHeight="1">
      <c r="A12" s="10" t="s">
        <v>28</v>
      </c>
    </row>
    <row r="13" spans="1:12" ht="18" customHeight="1">
      <c r="A13" s="1" t="s">
        <v>29</v>
      </c>
      <c r="E13" s="2" t="s">
        <v>30</v>
      </c>
      <c r="F13" s="57">
        <v>443</v>
      </c>
      <c r="G13" s="57">
        <v>443</v>
      </c>
      <c r="H13" s="2" t="s">
        <v>30</v>
      </c>
      <c r="I13" s="57">
        <v>443</v>
      </c>
      <c r="J13" s="57">
        <v>443</v>
      </c>
      <c r="L13" s="57">
        <v>443</v>
      </c>
    </row>
    <row r="14" spans="1:12" ht="18" customHeight="1"/>
    <row r="15" spans="1:12">
      <c r="A15" s="1" t="s">
        <v>31</v>
      </c>
      <c r="F15" s="57">
        <f>ROUND((F13*F8/12),2)</f>
        <v>11554.92</v>
      </c>
      <c r="G15" s="57">
        <f>ROUND((G13*G8/12),2)</f>
        <v>11554.92</v>
      </c>
      <c r="H15" s="58"/>
      <c r="I15" s="57">
        <f>ROUND((I13*I8/12),2)</f>
        <v>11554.92</v>
      </c>
      <c r="J15" s="57">
        <f>ROUND((J13*J8/12),2)</f>
        <v>11554.92</v>
      </c>
      <c r="L15" s="57">
        <f>ROUND((L13*L8/12),2)</f>
        <v>11554.92</v>
      </c>
    </row>
    <row r="16" spans="1:12" ht="19.5" customHeight="1">
      <c r="A16" s="1" t="s">
        <v>32</v>
      </c>
      <c r="F16" s="57">
        <v>0</v>
      </c>
      <c r="G16" s="57">
        <f>ROUND(G15*10%*1/3,2)</f>
        <v>385.16</v>
      </c>
      <c r="H16" s="58"/>
      <c r="I16" s="57">
        <v>0</v>
      </c>
      <c r="J16" s="57">
        <f>+J15*10%*1/2</f>
        <v>577.74599999999998</v>
      </c>
      <c r="L16" s="57">
        <f>+L15*10%*1/2</f>
        <v>577.74599999999998</v>
      </c>
    </row>
    <row r="17" spans="1:17" ht="18" customHeight="1">
      <c r="A17" s="1" t="s">
        <v>33</v>
      </c>
      <c r="F17" s="57">
        <f>ROUND((F13*365/12/12),2)</f>
        <v>1122.8800000000001</v>
      </c>
      <c r="G17" s="57">
        <f>ROUND((G13*365/12/12),2)</f>
        <v>1122.8800000000001</v>
      </c>
      <c r="H17" s="58"/>
      <c r="I17" s="57">
        <f>ROUND((I13*365/12/12),2)</f>
        <v>1122.8800000000001</v>
      </c>
      <c r="J17" s="57">
        <f>ROUND((J13*365/12/12),2)</f>
        <v>1122.8800000000001</v>
      </c>
      <c r="L17" s="57">
        <f>ROUND((L13*365/12/12),2)</f>
        <v>1122.8800000000001</v>
      </c>
    </row>
    <row r="18" spans="1:17" ht="18" customHeight="1">
      <c r="A18" s="1" t="s">
        <v>34</v>
      </c>
      <c r="F18" s="57">
        <f>ROUND(+F13*(5/12),2)</f>
        <v>184.58</v>
      </c>
      <c r="G18" s="57">
        <f>ROUND(+G13*(5/12),2)</f>
        <v>184.58</v>
      </c>
      <c r="H18" s="58"/>
      <c r="I18" s="13">
        <f>I13*(5/12)</f>
        <v>184.58333333333334</v>
      </c>
      <c r="J18" s="13">
        <f>J13*(5/12)</f>
        <v>184.58333333333334</v>
      </c>
      <c r="L18" s="57">
        <f>ROUND(+L13*(5/12),2)</f>
        <v>184.58</v>
      </c>
    </row>
    <row r="19" spans="1:17" ht="18" customHeight="1">
      <c r="A19" s="1" t="s">
        <v>35</v>
      </c>
      <c r="F19" s="57">
        <v>100</v>
      </c>
      <c r="G19" s="57">
        <v>100</v>
      </c>
      <c r="H19" s="58"/>
      <c r="I19" s="14">
        <v>100</v>
      </c>
      <c r="J19" s="57">
        <v>100</v>
      </c>
      <c r="L19" s="57">
        <v>100</v>
      </c>
    </row>
    <row r="20" spans="1:17" ht="21" customHeight="1">
      <c r="A20" s="1" t="s">
        <v>36</v>
      </c>
      <c r="F20" s="59">
        <v>0</v>
      </c>
      <c r="G20" s="59">
        <f>0*377/12</f>
        <v>0</v>
      </c>
      <c r="H20" s="60"/>
      <c r="I20" s="61">
        <f>+F52</f>
        <v>7569.5783333333338</v>
      </c>
      <c r="J20" s="61">
        <f>+J52</f>
        <v>8326.5358333333334</v>
      </c>
      <c r="L20" s="61">
        <f>J52</f>
        <v>8326.5358333333334</v>
      </c>
    </row>
    <row r="21" spans="1:17" ht="18" customHeight="1">
      <c r="F21" s="13">
        <f>ROUND(SUM(F15:F20),2)</f>
        <v>12962.38</v>
      </c>
      <c r="G21" s="13">
        <f>ROUND(SUM(G15:G20),2)</f>
        <v>13347.54</v>
      </c>
      <c r="H21" s="18"/>
      <c r="I21" s="13">
        <f>SUM(I15:I20)</f>
        <v>20531.961666666666</v>
      </c>
      <c r="J21" s="13">
        <f>SUM(J15:J20)</f>
        <v>21866.665166666666</v>
      </c>
      <c r="L21" s="13">
        <f>ROUND(SUM(L15:L20),2)</f>
        <v>21866.66</v>
      </c>
      <c r="O21" s="6"/>
      <c r="P21" s="6"/>
      <c r="Q21" s="6"/>
    </row>
    <row r="22" spans="1:17" ht="18" customHeight="1">
      <c r="F22" s="13"/>
      <c r="I22" s="13"/>
      <c r="J22" s="13"/>
    </row>
    <row r="23" spans="1:17" ht="18" customHeight="1">
      <c r="A23" s="10" t="s">
        <v>37</v>
      </c>
      <c r="F23" s="13"/>
      <c r="G23" s="13"/>
      <c r="L23" s="13"/>
    </row>
    <row r="24" spans="1:17" ht="18" customHeight="1">
      <c r="A24" s="1" t="s">
        <v>38</v>
      </c>
      <c r="E24" s="2" t="s">
        <v>30</v>
      </c>
      <c r="F24" s="62">
        <f>ROUND(+F13*22.5/12,2)</f>
        <v>830.63</v>
      </c>
      <c r="G24" s="62">
        <f>ROUND(+G13*22.5/12,2)</f>
        <v>830.63</v>
      </c>
      <c r="H24" s="2" t="s">
        <v>30</v>
      </c>
      <c r="I24" s="57">
        <f>+I13*22.5/12</f>
        <v>830.625</v>
      </c>
      <c r="J24" s="57">
        <f>+J13*22.5/12</f>
        <v>830.625</v>
      </c>
      <c r="L24" s="62">
        <f>ROUND(+L13*22.5/12,2)</f>
        <v>830.63</v>
      </c>
    </row>
    <row r="25" spans="1:17" ht="18" customHeight="1">
      <c r="A25" s="1" t="s">
        <v>39</v>
      </c>
      <c r="F25" s="62">
        <v>1140</v>
      </c>
      <c r="G25" s="62">
        <v>1140</v>
      </c>
      <c r="H25" s="58"/>
      <c r="I25" s="62">
        <v>1852.5</v>
      </c>
      <c r="J25" s="62">
        <v>1900</v>
      </c>
      <c r="L25" s="62">
        <v>1900</v>
      </c>
    </row>
    <row r="26" spans="1:17" ht="18" customHeight="1">
      <c r="A26" s="1" t="s">
        <v>40</v>
      </c>
      <c r="F26" s="62">
        <v>0</v>
      </c>
      <c r="G26" s="62">
        <v>0</v>
      </c>
      <c r="H26" s="58"/>
      <c r="I26" s="62">
        <v>0</v>
      </c>
      <c r="J26" s="62">
        <v>47.5</v>
      </c>
      <c r="L26" s="62">
        <v>47.5</v>
      </c>
    </row>
    <row r="27" spans="1:17" ht="18" customHeight="1">
      <c r="A27" s="1" t="s">
        <v>72</v>
      </c>
      <c r="F27" s="62">
        <f>ROUND((F15*0.05)/2,2)</f>
        <v>288.87</v>
      </c>
      <c r="G27" s="62">
        <f>ROUND((G15*0.05)/2,2)</f>
        <v>288.87</v>
      </c>
      <c r="H27" s="58"/>
      <c r="I27" s="57">
        <f>ROUND((I15*0.05/2),2)</f>
        <v>288.87</v>
      </c>
      <c r="J27" s="57">
        <f>ROUND((J15*0.05/2),2)</f>
        <v>288.87</v>
      </c>
      <c r="L27" s="62">
        <f>ROUND((L15*0.05)/2,2)</f>
        <v>288.87</v>
      </c>
    </row>
    <row r="28" spans="1:17" ht="18" customHeight="1">
      <c r="A28" s="1" t="s">
        <v>42</v>
      </c>
      <c r="F28" s="62">
        <v>10</v>
      </c>
      <c r="G28" s="62">
        <v>10</v>
      </c>
      <c r="H28" s="58"/>
      <c r="I28" s="57">
        <v>30</v>
      </c>
      <c r="J28" s="57">
        <v>30</v>
      </c>
      <c r="L28" s="62">
        <v>30</v>
      </c>
    </row>
    <row r="29" spans="1:17" ht="18" customHeight="1">
      <c r="A29" s="1" t="s">
        <v>43</v>
      </c>
      <c r="F29" s="63">
        <v>100</v>
      </c>
      <c r="G29" s="63">
        <v>100</v>
      </c>
      <c r="H29" s="60"/>
      <c r="I29" s="59">
        <v>100</v>
      </c>
      <c r="J29" s="59">
        <v>100</v>
      </c>
      <c r="L29" s="63">
        <v>100</v>
      </c>
    </row>
    <row r="30" spans="1:17" ht="18" customHeight="1">
      <c r="F30" s="21">
        <f>ROUND(SUM(F24:F29),2)</f>
        <v>2369.5</v>
      </c>
      <c r="G30" s="21">
        <f>ROUND(SUM(G24:G29),2)</f>
        <v>2369.5</v>
      </c>
      <c r="H30" s="18"/>
      <c r="I30" s="13">
        <f>SUM(I24:I29)</f>
        <v>3101.9949999999999</v>
      </c>
      <c r="J30" s="13">
        <f>SUM(J24:J29)</f>
        <v>3196.9949999999999</v>
      </c>
      <c r="L30" s="21">
        <f>ROUND(SUM(L24:L29),2)</f>
        <v>3197</v>
      </c>
    </row>
    <row r="31" spans="1:17" ht="18" customHeight="1"/>
    <row r="32" spans="1:17" ht="18" customHeight="1">
      <c r="F32" s="10"/>
      <c r="G32" s="10"/>
      <c r="H32" s="7"/>
      <c r="L32" s="10"/>
    </row>
    <row r="33" spans="1:12" ht="18" customHeight="1">
      <c r="A33" s="10" t="s">
        <v>44</v>
      </c>
      <c r="E33" s="2" t="s">
        <v>30</v>
      </c>
      <c r="F33" s="22">
        <f>ROUND(+F21+F30,2)</f>
        <v>15331.88</v>
      </c>
      <c r="G33" s="22">
        <f>ROUND(+G21+G30,2)</f>
        <v>15717.04</v>
      </c>
      <c r="H33" s="2" t="s">
        <v>30</v>
      </c>
      <c r="I33" s="22">
        <f>+I30+I21</f>
        <v>23633.956666666665</v>
      </c>
      <c r="J33" s="22">
        <f>+J30+J21</f>
        <v>25063.660166666665</v>
      </c>
      <c r="L33" s="22">
        <f>ROUND(+L21+L30,2)</f>
        <v>25063.66</v>
      </c>
    </row>
    <row r="34" spans="1:12" ht="18" customHeight="1"/>
    <row r="35" spans="1:12" ht="18" customHeight="1" thickBot="1">
      <c r="A35" s="10" t="s">
        <v>45</v>
      </c>
    </row>
    <row r="36" spans="1:12">
      <c r="A36" s="109" t="s">
        <v>46</v>
      </c>
      <c r="B36" s="109"/>
      <c r="C36" s="109"/>
      <c r="D36" s="73"/>
      <c r="F36" s="64">
        <f>ROUND(+F33*24%,2)</f>
        <v>3679.65</v>
      </c>
      <c r="G36" s="64">
        <f>ROUND(+G33*24%,2)</f>
        <v>3772.09</v>
      </c>
      <c r="H36" s="65"/>
      <c r="I36" s="100" t="str">
        <f>IF(D36="","-",IF(D36&lt;20%,"ERROR",IF(D36&gt;24%,"ERROR",ROUND(+I33*D36,2))))</f>
        <v>-</v>
      </c>
      <c r="J36" s="100" t="str">
        <f>IF(D36="","-",IF(D36&lt;20%,"ERROR",IF(D36&gt;24%,"ERROR",ROUND(+J33*D36,2))))</f>
        <v>-</v>
      </c>
      <c r="K36" s="2"/>
      <c r="L36" s="65" t="str">
        <f>IF(D36="","-",IF(D36&lt;20%,"ERROR",IF(D36&gt;24%,"ERROR",ROUND(+L33*D36,2))))</f>
        <v>-</v>
      </c>
    </row>
    <row r="37" spans="1:12" ht="18" customHeight="1">
      <c r="F37" s="10"/>
      <c r="G37" s="10"/>
      <c r="H37" s="7"/>
      <c r="I37" s="10"/>
      <c r="J37" s="10"/>
      <c r="L37" s="10"/>
    </row>
    <row r="38" spans="1:12" ht="18" customHeight="1">
      <c r="A38" s="10" t="s">
        <v>47</v>
      </c>
      <c r="F38" s="64">
        <f>ROUND(+F36*0.12,2)</f>
        <v>441.56</v>
      </c>
      <c r="G38" s="64">
        <f>ROUND(+G36*0.12,2)</f>
        <v>452.65</v>
      </c>
      <c r="H38" s="65"/>
      <c r="I38" s="64" t="e">
        <f>+I36*0.12</f>
        <v>#VALUE!</v>
      </c>
      <c r="J38" s="64" t="e">
        <f>+J36*0.12</f>
        <v>#VALUE!</v>
      </c>
      <c r="L38" s="64" t="e">
        <f>ROUND(+L36*0.12,2)</f>
        <v>#VALUE!</v>
      </c>
    </row>
    <row r="39" spans="1:12" ht="18" customHeight="1"/>
    <row r="40" spans="1:12" ht="18" customHeight="1" thickBot="1">
      <c r="A40" s="10" t="s">
        <v>48</v>
      </c>
      <c r="E40" s="2" t="s">
        <v>30</v>
      </c>
      <c r="F40" s="66">
        <f>ROUND(+F33+F36+F38,2)</f>
        <v>19453.09</v>
      </c>
      <c r="G40" s="66">
        <f>ROUND(+G33+G36+G38,2)</f>
        <v>19941.78</v>
      </c>
      <c r="H40" s="2" t="s">
        <v>30</v>
      </c>
      <c r="I40" s="26" t="e">
        <f>I33+I36+I38</f>
        <v>#VALUE!</v>
      </c>
      <c r="J40" s="26" t="e">
        <f>J33+J36+J38</f>
        <v>#VALUE!</v>
      </c>
      <c r="L40" s="66" t="e">
        <f>ROUND(+L33+L36+L38,2)</f>
        <v>#VALUE!</v>
      </c>
    </row>
    <row r="41" spans="1:12" ht="18" customHeight="1" thickTop="1"/>
    <row r="42" spans="1:12" ht="18" hidden="1" customHeight="1"/>
    <row r="43" spans="1:12" hidden="1">
      <c r="F43" s="57"/>
      <c r="G43" s="57"/>
      <c r="H43" s="58"/>
      <c r="L43" s="57"/>
    </row>
    <row r="44" spans="1:12" hidden="1">
      <c r="B44" s="1" t="s">
        <v>49</v>
      </c>
      <c r="F44" s="13"/>
      <c r="G44" s="13"/>
      <c r="H44" s="18"/>
      <c r="I44" s="1" t="s">
        <v>50</v>
      </c>
      <c r="L44" s="13"/>
    </row>
    <row r="45" spans="1:12" hidden="1"/>
    <row r="46" spans="1:12" hidden="1">
      <c r="B46" s="1" t="s">
        <v>51</v>
      </c>
      <c r="C46" s="18">
        <f>F13/8</f>
        <v>55.375</v>
      </c>
      <c r="D46" s="18"/>
      <c r="I46" s="1" t="s">
        <v>51</v>
      </c>
      <c r="J46" s="18">
        <f>I13/8</f>
        <v>55.375</v>
      </c>
    </row>
    <row r="47" spans="1:12" hidden="1">
      <c r="A47" s="2">
        <v>295</v>
      </c>
      <c r="B47" s="1" t="s">
        <v>52</v>
      </c>
      <c r="F47" s="57">
        <f>ROUND((C46*1.25*A47*4),2)</f>
        <v>81678.13</v>
      </c>
      <c r="I47" s="1" t="s">
        <v>53</v>
      </c>
      <c r="J47" s="67">
        <f>ROUND((J46*1.375*A47*4),2)</f>
        <v>89845.94</v>
      </c>
    </row>
    <row r="48" spans="1:12" hidden="1">
      <c r="A48" s="2">
        <v>12</v>
      </c>
      <c r="B48" s="1" t="s">
        <v>54</v>
      </c>
      <c r="F48" s="57">
        <f>ROUND((C46*2.6*A48*4),2)</f>
        <v>6910.8</v>
      </c>
      <c r="I48" s="1" t="s">
        <v>55</v>
      </c>
      <c r="J48" s="67">
        <f>ROUND((J46*2.86*A48*4),2)</f>
        <v>7601.88</v>
      </c>
    </row>
    <row r="49" spans="1:12" hidden="1">
      <c r="A49" s="2">
        <v>6</v>
      </c>
      <c r="B49" s="1" t="s">
        <v>56</v>
      </c>
      <c r="F49" s="57">
        <f>ROUND((C46*1.69*A49*4),2)</f>
        <v>2246.0100000000002</v>
      </c>
      <c r="I49" s="1" t="s">
        <v>57</v>
      </c>
      <c r="J49" s="61">
        <f>ROUND((J46*1.859*A49*4),2)</f>
        <v>2470.61</v>
      </c>
    </row>
    <row r="50" spans="1:12" hidden="1">
      <c r="F50" s="28">
        <f>SUM(F47:F49)</f>
        <v>90834.94</v>
      </c>
      <c r="J50" s="67">
        <f>SUM(J47:J49)</f>
        <v>99918.430000000008</v>
      </c>
    </row>
    <row r="51" spans="1:12" hidden="1">
      <c r="B51" s="1" t="s">
        <v>58</v>
      </c>
      <c r="F51" s="29">
        <v>12</v>
      </c>
      <c r="I51" s="1" t="s">
        <v>59</v>
      </c>
      <c r="J51" s="29">
        <v>12</v>
      </c>
    </row>
    <row r="52" spans="1:12" ht="16.5" hidden="1" thickBot="1">
      <c r="B52" s="1" t="s">
        <v>60</v>
      </c>
      <c r="F52" s="66">
        <f>F50/F51</f>
        <v>7569.5783333333338</v>
      </c>
      <c r="I52" s="1" t="s">
        <v>61</v>
      </c>
      <c r="J52" s="30">
        <f>J50/J51</f>
        <v>8326.5358333333334</v>
      </c>
    </row>
    <row r="53" spans="1:12" ht="16.5" hidden="1" thickTop="1">
      <c r="F53" s="13"/>
    </row>
    <row r="54" spans="1:12" hidden="1">
      <c r="B54" s="10" t="s">
        <v>62</v>
      </c>
      <c r="F54" s="13"/>
      <c r="I54" s="10"/>
    </row>
    <row r="55" spans="1:12" ht="15" hidden="1" customHeight="1">
      <c r="B55" s="1" t="s">
        <v>63</v>
      </c>
    </row>
    <row r="56" spans="1:12" hidden="1">
      <c r="B56" s="1" t="s">
        <v>64</v>
      </c>
    </row>
    <row r="57" spans="1:12" hidden="1"/>
    <row r="58" spans="1:12" ht="16.5" hidden="1" thickBot="1">
      <c r="B58" s="1" t="s">
        <v>65</v>
      </c>
      <c r="F58" s="68">
        <f>F21-F17</f>
        <v>11839.5</v>
      </c>
      <c r="G58" s="68">
        <f>G21-G17</f>
        <v>12224.66</v>
      </c>
      <c r="H58" s="69"/>
      <c r="I58" s="68">
        <f>I21-I17</f>
        <v>19409.081666666665</v>
      </c>
      <c r="J58" s="68">
        <f>J21-J17</f>
        <v>20743.785166666665</v>
      </c>
      <c r="L58" s="68">
        <f>L21-L17</f>
        <v>20743.78</v>
      </c>
    </row>
    <row r="59" spans="1:12" ht="16.5" hidden="1" thickTop="1"/>
    <row r="60" spans="1:12">
      <c r="A60" s="10" t="s">
        <v>79</v>
      </c>
    </row>
    <row r="62" spans="1:12">
      <c r="A62" s="1" t="s">
        <v>67</v>
      </c>
      <c r="F62" s="2">
        <v>2</v>
      </c>
      <c r="G62" s="2">
        <v>1</v>
      </c>
      <c r="I62" s="2">
        <v>1</v>
      </c>
      <c r="J62" s="2">
        <v>1</v>
      </c>
      <c r="L62" s="2">
        <v>1</v>
      </c>
    </row>
    <row r="64" spans="1:12">
      <c r="A64" s="1" t="s">
        <v>68</v>
      </c>
      <c r="F64" s="34">
        <f>ROUND(F40*F62,2)</f>
        <v>38906.18</v>
      </c>
      <c r="G64" s="34">
        <f>ROUND(G40*G62,2)</f>
        <v>19941.78</v>
      </c>
      <c r="I64" s="34" t="e">
        <f>ROUND(I40*I62,2)</f>
        <v>#VALUE!</v>
      </c>
      <c r="J64" s="34" t="e">
        <f>ROUND(J40*J62,2)</f>
        <v>#VALUE!</v>
      </c>
      <c r="L64" s="34" t="e">
        <f>ROUND(L40*L62,2)</f>
        <v>#VALUE!</v>
      </c>
    </row>
    <row r="66" spans="1:15" ht="30.75" customHeight="1" thickBot="1">
      <c r="A66" s="109" t="s">
        <v>80</v>
      </c>
      <c r="B66" s="109"/>
      <c r="C66" s="109"/>
      <c r="D66" s="56"/>
      <c r="F66" s="75">
        <f>ROUND(F64*12,2)</f>
        <v>466874.16</v>
      </c>
      <c r="G66" s="75">
        <f>ROUND(G64*12,2)</f>
        <v>239301.36</v>
      </c>
      <c r="H66" s="71"/>
      <c r="I66" s="75" t="e">
        <f>ROUND(I64*12,2)</f>
        <v>#VALUE!</v>
      </c>
      <c r="J66" s="75" t="e">
        <f>ROUND(J64*12,2)</f>
        <v>#VALUE!</v>
      </c>
      <c r="K66" s="70"/>
      <c r="L66" s="75" t="e">
        <f>ROUND(L64*12,2)</f>
        <v>#VALUE!</v>
      </c>
      <c r="O66" s="34"/>
    </row>
    <row r="67" spans="1:15" ht="16.5" thickTop="1"/>
    <row r="68" spans="1:15" ht="19.5" thickBot="1">
      <c r="L68" s="76" t="e">
        <f>SUM(I66:L66)</f>
        <v>#VALUE!</v>
      </c>
    </row>
    <row r="69" spans="1:15" ht="16.5" thickTop="1"/>
  </sheetData>
  <mergeCells count="6">
    <mergeCell ref="A66:C66"/>
    <mergeCell ref="F6:L6"/>
    <mergeCell ref="A36:C36"/>
    <mergeCell ref="A2:L2"/>
    <mergeCell ref="A3:L3"/>
    <mergeCell ref="A4:L4"/>
  </mergeCells>
  <conditionalFormatting sqref="D36">
    <cfRule type="containsBlanks" dxfId="2" priority="1">
      <formula>LEN(TRIM(D36))=0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E8DC-5466-4B6D-BAF9-B51824C05D64}">
  <dimension ref="A2:O70"/>
  <sheetViews>
    <sheetView topLeftCell="A4" zoomScale="82" zoomScaleNormal="82" workbookViewId="0">
      <selection activeCell="A67" sqref="A67:C67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29.5703125" style="1" customWidth="1"/>
    <col min="4" max="4" width="4.140625" style="1" customWidth="1"/>
    <col min="5" max="5" width="18.140625" style="1" customWidth="1"/>
    <col min="6" max="6" width="18" style="1" customWidth="1"/>
    <col min="7" max="7" width="3.42578125" style="2" customWidth="1"/>
    <col min="8" max="8" width="20.42578125" style="1" customWidth="1"/>
    <col min="9" max="10" width="21.140625" style="1" customWidth="1"/>
    <col min="11" max="12" width="9.140625" style="1"/>
    <col min="13" max="13" width="11.85546875" style="1" bestFit="1" customWidth="1"/>
    <col min="14" max="14" width="11.42578125" style="1" customWidth="1"/>
    <col min="15" max="15" width="12" style="1" customWidth="1"/>
    <col min="16" max="16384" width="9.140625" style="1"/>
  </cols>
  <sheetData>
    <row r="2" spans="1:10">
      <c r="A2" s="110" t="s">
        <v>81</v>
      </c>
      <c r="B2" s="110"/>
      <c r="C2" s="110"/>
      <c r="D2" s="110"/>
      <c r="E2" s="110"/>
      <c r="F2" s="110"/>
      <c r="G2" s="110"/>
      <c r="H2" s="110"/>
      <c r="I2" s="110"/>
    </row>
    <row r="3" spans="1:10">
      <c r="A3" s="111" t="s">
        <v>76</v>
      </c>
      <c r="B3" s="111"/>
      <c r="C3" s="111"/>
      <c r="D3" s="111"/>
      <c r="E3" s="111"/>
      <c r="F3" s="111"/>
      <c r="G3" s="111"/>
      <c r="H3" s="111"/>
      <c r="I3" s="111"/>
    </row>
    <row r="4" spans="1:10">
      <c r="A4" s="111" t="s">
        <v>82</v>
      </c>
      <c r="B4" s="111"/>
      <c r="C4" s="111"/>
      <c r="D4" s="111"/>
      <c r="E4" s="111"/>
      <c r="F4" s="111"/>
      <c r="G4" s="111"/>
      <c r="H4" s="111"/>
      <c r="I4" s="111"/>
    </row>
    <row r="6" spans="1:10" ht="18" customHeight="1">
      <c r="E6" s="110" t="s">
        <v>83</v>
      </c>
      <c r="F6" s="110"/>
      <c r="G6" s="7"/>
      <c r="H6" s="114" t="s">
        <v>84</v>
      </c>
      <c r="I6" s="114"/>
      <c r="J6" s="114"/>
    </row>
    <row r="7" spans="1:10" ht="18" customHeight="1">
      <c r="A7" s="1" t="s">
        <v>20</v>
      </c>
      <c r="E7" s="2" t="s">
        <v>21</v>
      </c>
      <c r="F7" s="2" t="s">
        <v>21</v>
      </c>
      <c r="H7" s="2" t="s">
        <v>21</v>
      </c>
      <c r="I7" s="2" t="s">
        <v>21</v>
      </c>
      <c r="J7" s="2" t="s">
        <v>21</v>
      </c>
    </row>
    <row r="8" spans="1:10" ht="18" customHeight="1">
      <c r="A8" s="1" t="s">
        <v>22</v>
      </c>
      <c r="E8" s="2">
        <v>313</v>
      </c>
      <c r="F8" s="2">
        <v>313</v>
      </c>
      <c r="H8" s="2">
        <v>313</v>
      </c>
      <c r="I8" s="2">
        <v>313</v>
      </c>
      <c r="J8" s="2">
        <v>313</v>
      </c>
    </row>
    <row r="9" spans="1:10" ht="18" customHeight="1">
      <c r="E9" s="2" t="s">
        <v>23</v>
      </c>
      <c r="F9" s="2" t="s">
        <v>23</v>
      </c>
      <c r="H9" s="2" t="s">
        <v>23</v>
      </c>
      <c r="I9" s="2" t="s">
        <v>23</v>
      </c>
      <c r="J9" s="2" t="s">
        <v>23</v>
      </c>
    </row>
    <row r="10" spans="1:10" ht="18" customHeight="1">
      <c r="E10" s="2" t="s">
        <v>25</v>
      </c>
      <c r="F10" s="2" t="s">
        <v>26</v>
      </c>
      <c r="H10" s="2" t="s">
        <v>25</v>
      </c>
      <c r="I10" s="2" t="s">
        <v>26</v>
      </c>
      <c r="J10" s="2" t="s">
        <v>27</v>
      </c>
    </row>
    <row r="11" spans="1:10" ht="18" customHeight="1"/>
    <row r="12" spans="1:10" ht="18" customHeight="1">
      <c r="A12" s="10" t="s">
        <v>28</v>
      </c>
    </row>
    <row r="13" spans="1:10" ht="18" customHeight="1">
      <c r="A13" s="1" t="s">
        <v>29</v>
      </c>
      <c r="D13" s="2" t="s">
        <v>30</v>
      </c>
      <c r="E13" s="11">
        <v>443</v>
      </c>
      <c r="F13" s="11">
        <v>443</v>
      </c>
      <c r="G13" s="2" t="s">
        <v>30</v>
      </c>
      <c r="H13" s="11">
        <v>443</v>
      </c>
      <c r="I13" s="11">
        <v>443</v>
      </c>
      <c r="J13" s="11">
        <v>443</v>
      </c>
    </row>
    <row r="14" spans="1:10" ht="18" customHeight="1"/>
    <row r="15" spans="1:10">
      <c r="A15" s="1" t="s">
        <v>31</v>
      </c>
      <c r="E15" s="11">
        <f>ROUND((E13*E8/12),2)</f>
        <v>11554.92</v>
      </c>
      <c r="F15" s="11">
        <f>ROUND((F13*F8/12),2)</f>
        <v>11554.92</v>
      </c>
      <c r="G15" s="12"/>
      <c r="H15" s="11">
        <f>ROUND((H13*H8/12),2)</f>
        <v>11554.92</v>
      </c>
      <c r="I15" s="11">
        <f>ROUND((I13*I8/12),2)</f>
        <v>11554.92</v>
      </c>
      <c r="J15" s="11">
        <f>ROUND((J13*J8/12),2)</f>
        <v>11554.92</v>
      </c>
    </row>
    <row r="16" spans="1:10" ht="19.5" customHeight="1">
      <c r="A16" s="1" t="s">
        <v>32</v>
      </c>
      <c r="E16" s="11">
        <v>0</v>
      </c>
      <c r="F16" s="11">
        <f>ROUND(+F15*10%*1/3,2)</f>
        <v>385.16</v>
      </c>
      <c r="G16" s="12"/>
      <c r="H16" s="11">
        <v>0</v>
      </c>
      <c r="I16" s="11">
        <f>ROUND(+I15*10%*1/3,2)</f>
        <v>385.16</v>
      </c>
      <c r="J16" s="11">
        <f>ROUND(+J15*10%*1/3,2)</f>
        <v>385.16</v>
      </c>
    </row>
    <row r="17" spans="1:15" ht="18" customHeight="1">
      <c r="A17" s="1" t="s">
        <v>33</v>
      </c>
      <c r="E17" s="11">
        <f>ROUND((E13*365/12/12),2)</f>
        <v>1122.8800000000001</v>
      </c>
      <c r="F17" s="11">
        <f>ROUND((F13*365/12/12),2)</f>
        <v>1122.8800000000001</v>
      </c>
      <c r="G17" s="12"/>
      <c r="H17" s="11">
        <f>ROUND((H13*365/12/12),2)</f>
        <v>1122.8800000000001</v>
      </c>
      <c r="I17" s="11">
        <f>ROUND((I13*365/12/12),2)</f>
        <v>1122.8800000000001</v>
      </c>
      <c r="J17" s="11">
        <f>ROUND((J13*365/12/12),2)</f>
        <v>1122.8800000000001</v>
      </c>
    </row>
    <row r="18" spans="1:15" ht="18" customHeight="1">
      <c r="A18" s="1" t="s">
        <v>34</v>
      </c>
      <c r="E18" s="13">
        <f>ROUND(E13*(5/12),2)</f>
        <v>184.58</v>
      </c>
      <c r="F18" s="13">
        <f>ROUND(F13*(5/12),2)</f>
        <v>184.58</v>
      </c>
      <c r="G18" s="12"/>
      <c r="H18" s="13">
        <f>ROUND(H13*(5/12),2)</f>
        <v>184.58</v>
      </c>
      <c r="I18" s="13">
        <f>ROUND(I13*(5/12),2)</f>
        <v>184.58</v>
      </c>
      <c r="J18" s="13">
        <f>ROUND(J13*(5/12),2)</f>
        <v>184.58</v>
      </c>
    </row>
    <row r="19" spans="1:15" ht="18" customHeight="1">
      <c r="A19" s="1" t="s">
        <v>35</v>
      </c>
      <c r="E19" s="11">
        <v>100</v>
      </c>
      <c r="F19" s="11">
        <v>100</v>
      </c>
      <c r="G19" s="12"/>
      <c r="H19" s="14">
        <v>100</v>
      </c>
      <c r="I19" s="11">
        <v>100</v>
      </c>
      <c r="J19" s="11">
        <v>100</v>
      </c>
    </row>
    <row r="20" spans="1:15" ht="21" customHeight="1">
      <c r="A20" s="1" t="s">
        <v>36</v>
      </c>
      <c r="E20" s="15">
        <v>0</v>
      </c>
      <c r="F20" s="15">
        <f>0*377/12</f>
        <v>0</v>
      </c>
      <c r="G20" s="16"/>
      <c r="H20" s="17"/>
      <c r="I20" s="17"/>
      <c r="J20" s="17"/>
    </row>
    <row r="21" spans="1:15" ht="18" customHeight="1">
      <c r="E21" s="13">
        <f>SUM(E15:E20)</f>
        <v>12962.38</v>
      </c>
      <c r="F21" s="13">
        <f>ROUND(SUM(F15:F20),2)</f>
        <v>13347.54</v>
      </c>
      <c r="G21" s="18"/>
      <c r="H21" s="13">
        <f>ROUND(SUM(H15:H20),2)</f>
        <v>12962.38</v>
      </c>
      <c r="I21" s="13">
        <f>ROUND(SUM(I15:I20),2)</f>
        <v>13347.54</v>
      </c>
      <c r="J21" s="13">
        <f>ROUND(SUM(J15:J20),2)</f>
        <v>13347.54</v>
      </c>
      <c r="M21" s="6"/>
      <c r="N21" s="6"/>
      <c r="O21" s="6"/>
    </row>
    <row r="22" spans="1:15" ht="18" customHeight="1">
      <c r="E22" s="13"/>
    </row>
    <row r="23" spans="1:15" ht="18" customHeight="1">
      <c r="A23" s="10" t="s">
        <v>37</v>
      </c>
    </row>
    <row r="24" spans="1:15" ht="18" customHeight="1">
      <c r="A24" s="1" t="s">
        <v>85</v>
      </c>
      <c r="E24" s="19">
        <f>+E13*22.5/12</f>
        <v>830.625</v>
      </c>
      <c r="F24" s="19">
        <f>+F13*22.5/12</f>
        <v>830.625</v>
      </c>
      <c r="G24" s="12"/>
      <c r="H24" s="11">
        <f>ROUND(+H13*22.5/12,2)</f>
        <v>830.63</v>
      </c>
      <c r="I24" s="11">
        <f>ROUND(+I13*22.5/12,2)</f>
        <v>830.63</v>
      </c>
      <c r="J24" s="11">
        <f>ROUND(+J13*22.5/12,2)</f>
        <v>830.63</v>
      </c>
    </row>
    <row r="25" spans="1:15" ht="18" customHeight="1">
      <c r="A25" s="3" t="s">
        <v>39</v>
      </c>
      <c r="E25" s="19">
        <v>1140</v>
      </c>
      <c r="F25" s="19">
        <v>1140</v>
      </c>
      <c r="G25" s="12"/>
      <c r="H25" s="19">
        <v>1140</v>
      </c>
      <c r="I25" s="19">
        <v>1140</v>
      </c>
      <c r="J25" s="19">
        <v>1140</v>
      </c>
    </row>
    <row r="26" spans="1:15" ht="18" customHeight="1">
      <c r="A26" s="3" t="s">
        <v>40</v>
      </c>
      <c r="E26" s="19">
        <v>0</v>
      </c>
      <c r="F26" s="19">
        <v>0</v>
      </c>
      <c r="G26" s="12"/>
      <c r="H26" s="19">
        <v>0</v>
      </c>
      <c r="I26" s="19">
        <v>0</v>
      </c>
      <c r="J26" s="19">
        <v>0</v>
      </c>
    </row>
    <row r="27" spans="1:15" ht="18" customHeight="1">
      <c r="A27" s="1" t="s">
        <v>41</v>
      </c>
      <c r="E27" s="19">
        <f>(E15*0.05)/2</f>
        <v>288.87299999999999</v>
      </c>
      <c r="F27" s="19">
        <f>(F15*0.05)/2</f>
        <v>288.87299999999999</v>
      </c>
      <c r="G27" s="12"/>
      <c r="H27" s="11">
        <f>ROUND((H15*0.05/2),2)</f>
        <v>288.87</v>
      </c>
      <c r="I27" s="11">
        <f>ROUND((I15*0.05/2),2)</f>
        <v>288.87</v>
      </c>
      <c r="J27" s="11">
        <f>ROUND((J15*0.05/2),2)</f>
        <v>288.87</v>
      </c>
    </row>
    <row r="28" spans="1:15" ht="18" customHeight="1">
      <c r="A28" s="1" t="s">
        <v>42</v>
      </c>
      <c r="E28" s="19">
        <v>10</v>
      </c>
      <c r="F28" s="19">
        <v>10</v>
      </c>
      <c r="G28" s="12"/>
      <c r="H28" s="11">
        <v>10</v>
      </c>
      <c r="I28" s="11">
        <v>10</v>
      </c>
      <c r="J28" s="11">
        <v>10</v>
      </c>
    </row>
    <row r="29" spans="1:15" ht="18" customHeight="1">
      <c r="A29" s="1" t="s">
        <v>43</v>
      </c>
      <c r="E29" s="20">
        <v>100</v>
      </c>
      <c r="F29" s="20">
        <v>100</v>
      </c>
      <c r="G29" s="16"/>
      <c r="H29" s="15">
        <v>100</v>
      </c>
      <c r="I29" s="15">
        <v>100</v>
      </c>
      <c r="J29" s="15">
        <v>100</v>
      </c>
    </row>
    <row r="30" spans="1:15" ht="18" customHeight="1">
      <c r="E30" s="21">
        <f>SUM(E24:E29)</f>
        <v>2369.498</v>
      </c>
      <c r="F30" s="21">
        <f>SUM(F24:F29)</f>
        <v>2369.498</v>
      </c>
      <c r="G30" s="18"/>
      <c r="H30" s="13">
        <f>ROUND(SUM(H24:H29),2)</f>
        <v>2369.5</v>
      </c>
      <c r="I30" s="13">
        <f>ROUND(SUM(I24:I29),2)</f>
        <v>2369.5</v>
      </c>
      <c r="J30" s="13">
        <f>ROUND(SUM(J24:J29),2)</f>
        <v>2369.5</v>
      </c>
    </row>
    <row r="31" spans="1:15" ht="18" customHeight="1"/>
    <row r="32" spans="1:15" ht="18" customHeight="1">
      <c r="E32" s="10"/>
      <c r="F32" s="10"/>
      <c r="G32" s="7"/>
    </row>
    <row r="33" spans="1:10" ht="18" customHeight="1">
      <c r="A33" s="10" t="s">
        <v>44</v>
      </c>
      <c r="D33" s="2" t="s">
        <v>30</v>
      </c>
      <c r="E33" s="22">
        <f>+E21+E30</f>
        <v>15331.877999999999</v>
      </c>
      <c r="F33" s="22">
        <f>ROUND(+F21+F30,2)</f>
        <v>15717.04</v>
      </c>
      <c r="G33" s="2" t="s">
        <v>30</v>
      </c>
      <c r="H33" s="22">
        <f>ROUND(+H30+H21,2)</f>
        <v>15331.88</v>
      </c>
      <c r="I33" s="22">
        <f>ROUND(+I30+I21,2)</f>
        <v>15717.04</v>
      </c>
      <c r="J33" s="22">
        <f>ROUND(+J30+J21,2)</f>
        <v>15717.04</v>
      </c>
    </row>
    <row r="34" spans="1:10" ht="18" customHeight="1"/>
    <row r="35" spans="1:10" ht="18" customHeight="1">
      <c r="A35" s="10" t="s">
        <v>45</v>
      </c>
    </row>
    <row r="36" spans="1:10">
      <c r="A36" s="109" t="s">
        <v>46</v>
      </c>
      <c r="B36" s="109"/>
      <c r="C36" s="109"/>
      <c r="E36" s="23">
        <f>+E33*0.24</f>
        <v>3679.6507199999996</v>
      </c>
      <c r="F36" s="23">
        <f>+F33*24%</f>
        <v>3772.0896000000002</v>
      </c>
      <c r="G36" s="24"/>
      <c r="H36" s="22">
        <f>ROUND(H33*0.24,2)</f>
        <v>3679.65</v>
      </c>
      <c r="I36" s="22">
        <f>ROUND(I33*0.24,2)</f>
        <v>3772.09</v>
      </c>
      <c r="J36" s="22">
        <f>ROUND(J33*0.24,2)</f>
        <v>3772.09</v>
      </c>
    </row>
    <row r="37" spans="1:10" ht="18" customHeight="1">
      <c r="E37" s="10"/>
      <c r="F37" s="10"/>
      <c r="G37" s="7"/>
      <c r="H37" s="10"/>
      <c r="I37" s="10"/>
      <c r="J37" s="10"/>
    </row>
    <row r="38" spans="1:10" ht="18" customHeight="1">
      <c r="A38" s="10" t="s">
        <v>47</v>
      </c>
      <c r="E38" s="23">
        <f>+E36*0.12</f>
        <v>441.55808639999992</v>
      </c>
      <c r="F38" s="23">
        <f>+F36*0.12</f>
        <v>452.65075200000001</v>
      </c>
      <c r="G38" s="24"/>
      <c r="H38" s="23">
        <f>ROUND(+H36*0.12,2)</f>
        <v>441.56</v>
      </c>
      <c r="I38" s="23">
        <f>ROUND(+I36*0.12,2)</f>
        <v>452.65</v>
      </c>
      <c r="J38" s="23">
        <f>ROUND(+J36*0.12,2)</f>
        <v>452.65</v>
      </c>
    </row>
    <row r="39" spans="1:10" ht="18" customHeight="1"/>
    <row r="40" spans="1:10" ht="18" customHeight="1" thickBot="1">
      <c r="A40" s="10" t="s">
        <v>48</v>
      </c>
      <c r="D40" s="2" t="s">
        <v>30</v>
      </c>
      <c r="E40" s="25">
        <f>+E33+E36+E38</f>
        <v>19453.086806399999</v>
      </c>
      <c r="F40" s="25">
        <f>+F33+F36+F38</f>
        <v>19941.780352000002</v>
      </c>
      <c r="G40" s="2" t="s">
        <v>30</v>
      </c>
      <c r="H40" s="26">
        <f>ROUND(H33+H36+H38,2)</f>
        <v>19453.09</v>
      </c>
      <c r="I40" s="26">
        <f>ROUND(I33+I36+I38,2)</f>
        <v>19941.78</v>
      </c>
      <c r="J40" s="26">
        <f>ROUND(J33+J36+J38,2)</f>
        <v>19941.78</v>
      </c>
    </row>
    <row r="41" spans="1:10" ht="18" customHeight="1" thickTop="1"/>
    <row r="43" spans="1:10">
      <c r="E43" s="11"/>
      <c r="F43" s="11"/>
      <c r="G43" s="12"/>
    </row>
    <row r="44" spans="1:10">
      <c r="B44" s="1" t="s">
        <v>49</v>
      </c>
      <c r="E44" s="13"/>
      <c r="F44" s="13"/>
      <c r="G44" s="18"/>
      <c r="H44" s="1" t="s">
        <v>50</v>
      </c>
    </row>
    <row r="46" spans="1:10">
      <c r="B46" s="1" t="s">
        <v>51</v>
      </c>
      <c r="C46" s="18">
        <f>E13/8</f>
        <v>55.375</v>
      </c>
      <c r="H46" s="1" t="s">
        <v>51</v>
      </c>
      <c r="I46" s="18">
        <f>I13/8</f>
        <v>55.375</v>
      </c>
      <c r="J46" s="18">
        <f>J13/8</f>
        <v>55.375</v>
      </c>
    </row>
    <row r="47" spans="1:10">
      <c r="A47" s="2">
        <v>295</v>
      </c>
      <c r="B47" s="1" t="s">
        <v>52</v>
      </c>
      <c r="E47" s="11">
        <f>ROUND((C46*1.25*295*4),2)</f>
        <v>81678.13</v>
      </c>
      <c r="H47" s="3" t="s">
        <v>53</v>
      </c>
      <c r="I47" s="27">
        <f>ROUND((I46*1.375*A47*4),2)</f>
        <v>89845.94</v>
      </c>
      <c r="J47" s="27">
        <f>ROUND((J46*1.375*A47*4),2)</f>
        <v>89845.94</v>
      </c>
    </row>
    <row r="48" spans="1:10">
      <c r="A48" s="2">
        <v>12</v>
      </c>
      <c r="B48" s="1" t="s">
        <v>54</v>
      </c>
      <c r="E48" s="11">
        <f>ROUND((C46*2.6*12*4),2)</f>
        <v>6910.8</v>
      </c>
      <c r="H48" s="3" t="s">
        <v>55</v>
      </c>
      <c r="I48" s="27">
        <f>ROUND((I46*2.86*A48*4),2)</f>
        <v>7601.88</v>
      </c>
      <c r="J48" s="27">
        <f>ROUND((J46*2.86*A48*4),2)</f>
        <v>7601.88</v>
      </c>
    </row>
    <row r="49" spans="1:10">
      <c r="A49" s="2">
        <v>6</v>
      </c>
      <c r="B49" s="1" t="s">
        <v>56</v>
      </c>
      <c r="E49" s="11">
        <f>ROUND((C46*1.69*A49*4),2)</f>
        <v>2246.0100000000002</v>
      </c>
      <c r="H49" s="3" t="s">
        <v>57</v>
      </c>
      <c r="I49" s="17">
        <f>ROUND((I46*1.859*A49*4),2)</f>
        <v>2470.61</v>
      </c>
      <c r="J49" s="17">
        <f>ROUND((J46*1.859*A49*4),2)</f>
        <v>2470.61</v>
      </c>
    </row>
    <row r="50" spans="1:10">
      <c r="E50" s="28">
        <f>SUM(E47:E49)</f>
        <v>90834.94</v>
      </c>
      <c r="I50" s="27">
        <f>SUM(I47:I49)</f>
        <v>99918.430000000008</v>
      </c>
      <c r="J50" s="27">
        <f>SUM(J47:J49)</f>
        <v>99918.430000000008</v>
      </c>
    </row>
    <row r="51" spans="1:10">
      <c r="B51" s="1" t="s">
        <v>58</v>
      </c>
      <c r="E51" s="29">
        <v>12</v>
      </c>
      <c r="H51" s="1" t="s">
        <v>59</v>
      </c>
      <c r="I51" s="29">
        <v>12</v>
      </c>
      <c r="J51" s="29">
        <v>12</v>
      </c>
    </row>
    <row r="52" spans="1:10" ht="16.5" thickBot="1">
      <c r="B52" s="1" t="s">
        <v>60</v>
      </c>
      <c r="E52" s="25">
        <f>E50/E51</f>
        <v>7569.5783333333338</v>
      </c>
      <c r="H52" s="1" t="s">
        <v>61</v>
      </c>
      <c r="I52" s="30">
        <f>I50/I51</f>
        <v>8326.5358333333334</v>
      </c>
      <c r="J52" s="30">
        <f>J50/J51</f>
        <v>8326.5358333333334</v>
      </c>
    </row>
    <row r="53" spans="1:10" ht="16.5" thickTop="1"/>
    <row r="54" spans="1:10">
      <c r="B54" s="10" t="s">
        <v>62</v>
      </c>
      <c r="E54" s="13"/>
      <c r="H54" s="10"/>
    </row>
    <row r="55" spans="1:10" ht="15" customHeight="1">
      <c r="B55" s="1" t="s">
        <v>63</v>
      </c>
    </row>
    <row r="56" spans="1:10">
      <c r="B56" s="1" t="s">
        <v>64</v>
      </c>
    </row>
    <row r="59" spans="1:10" ht="18" customHeight="1" thickBot="1">
      <c r="B59" s="1" t="s">
        <v>65</v>
      </c>
      <c r="E59" s="31">
        <f>E21-E17</f>
        <v>11839.5</v>
      </c>
      <c r="F59" s="31">
        <f>F21-F17</f>
        <v>12224.66</v>
      </c>
      <c r="G59" s="32"/>
      <c r="H59" s="33">
        <f>H21-H17</f>
        <v>11839.5</v>
      </c>
      <c r="I59" s="33">
        <f>I21-I17</f>
        <v>12224.66</v>
      </c>
      <c r="J59" s="33">
        <f>J21-J17</f>
        <v>12224.66</v>
      </c>
    </row>
    <row r="60" spans="1:10" ht="16.5" thickTop="1"/>
    <row r="61" spans="1:10">
      <c r="A61" s="5" t="s">
        <v>79</v>
      </c>
      <c r="B61" s="3"/>
      <c r="C61" s="3"/>
      <c r="D61" s="4"/>
      <c r="E61" s="3"/>
      <c r="F61" s="3"/>
      <c r="G61" s="4"/>
      <c r="H61" s="3"/>
      <c r="I61" s="3"/>
      <c r="J61" s="3"/>
    </row>
    <row r="62" spans="1:10">
      <c r="A62" s="3"/>
      <c r="B62" s="3"/>
      <c r="C62" s="3"/>
      <c r="D62" s="4"/>
      <c r="E62" s="3"/>
      <c r="F62" s="3"/>
      <c r="G62" s="4"/>
      <c r="H62" s="3"/>
      <c r="I62" s="3"/>
      <c r="J62" s="3"/>
    </row>
    <row r="63" spans="1:10">
      <c r="A63" s="3" t="s">
        <v>67</v>
      </c>
      <c r="B63" s="3"/>
      <c r="C63" s="3"/>
      <c r="D63" s="4"/>
      <c r="E63" s="3"/>
      <c r="F63" s="3"/>
      <c r="G63" s="4"/>
      <c r="H63" s="4">
        <v>2</v>
      </c>
      <c r="I63" s="4">
        <v>1</v>
      </c>
      <c r="J63" s="4">
        <v>1</v>
      </c>
    </row>
    <row r="64" spans="1:10">
      <c r="A64" s="3"/>
      <c r="B64" s="3"/>
      <c r="C64" s="3"/>
      <c r="D64" s="4"/>
      <c r="E64" s="3"/>
      <c r="F64" s="3"/>
      <c r="G64" s="4"/>
      <c r="H64" s="3"/>
      <c r="I64" s="3"/>
      <c r="J64" s="3"/>
    </row>
    <row r="65" spans="1:13">
      <c r="A65" s="3" t="s">
        <v>68</v>
      </c>
      <c r="B65" s="3"/>
      <c r="C65" s="3"/>
      <c r="D65" s="4"/>
      <c r="E65" s="3"/>
      <c r="F65" s="3"/>
      <c r="G65" s="4"/>
      <c r="H65" s="8">
        <f>ROUND(H40*H63,2)</f>
        <v>38906.18</v>
      </c>
      <c r="I65" s="8">
        <f>ROUND(I40*I63,2)</f>
        <v>19941.78</v>
      </c>
      <c r="J65" s="8">
        <f>ROUND(J40*J63,2)</f>
        <v>19941.78</v>
      </c>
      <c r="K65" s="1" t="s">
        <v>86</v>
      </c>
    </row>
    <row r="66" spans="1:13">
      <c r="A66" s="3"/>
      <c r="B66" s="3"/>
      <c r="C66" s="3"/>
      <c r="D66" s="4"/>
      <c r="E66" s="3"/>
      <c r="F66" s="3"/>
      <c r="G66" s="4"/>
      <c r="H66" s="3"/>
      <c r="I66" s="3"/>
      <c r="J66" s="3"/>
    </row>
    <row r="67" spans="1:13" ht="15.95" customHeight="1" thickBot="1">
      <c r="A67" s="113" t="s">
        <v>80</v>
      </c>
      <c r="B67" s="113"/>
      <c r="C67" s="113"/>
      <c r="D67" s="4"/>
      <c r="E67" s="36"/>
      <c r="F67" s="36"/>
      <c r="G67" s="35"/>
      <c r="H67" s="9">
        <f>ROUND(H65*12,2)</f>
        <v>466874.16</v>
      </c>
      <c r="I67" s="9">
        <f>ROUND(I65*12,2)</f>
        <v>239301.36</v>
      </c>
      <c r="J67" s="9">
        <f>ROUND(J65*12,2)</f>
        <v>239301.36</v>
      </c>
      <c r="M67" s="34"/>
    </row>
    <row r="68" spans="1:13" ht="16.5" thickTop="1"/>
    <row r="69" spans="1:13" ht="19.5" thickBot="1">
      <c r="H69" s="112">
        <f>SUM(H67:J67)</f>
        <v>945476.88</v>
      </c>
      <c r="I69" s="112"/>
      <c r="J69" s="112"/>
    </row>
    <row r="70" spans="1:13" ht="16.5" thickTop="1"/>
  </sheetData>
  <mergeCells count="8">
    <mergeCell ref="H69:J69"/>
    <mergeCell ref="A67:C67"/>
    <mergeCell ref="A2:I2"/>
    <mergeCell ref="A3:I3"/>
    <mergeCell ref="A4:I4"/>
    <mergeCell ref="E6:F6"/>
    <mergeCell ref="H6:J6"/>
    <mergeCell ref="A36:C36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D8B77-6A7C-460B-958F-AAABDE161AB7}">
  <sheetPr>
    <pageSetUpPr fitToPage="1"/>
  </sheetPr>
  <dimension ref="A2:Q73"/>
  <sheetViews>
    <sheetView view="pageBreakPreview" topLeftCell="B25" zoomScaleNormal="73" zoomScaleSheetLayoutView="100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6.140625" style="1" customWidth="1"/>
    <col min="4" max="4" width="8.5703125" style="1" customWidth="1"/>
    <col min="5" max="5" width="3.42578125" style="2" customWidth="1"/>
    <col min="6" max="6" width="18.140625" style="1" customWidth="1"/>
    <col min="7" max="7" width="18" style="1" customWidth="1"/>
    <col min="8" max="8" width="5.42578125" style="2" hidden="1" customWidth="1"/>
    <col min="9" max="9" width="20.42578125" style="1" hidden="1" customWidth="1"/>
    <col min="10" max="10" width="18.42578125" style="1" hidden="1" customWidth="1"/>
    <col min="11" max="11" width="9.140625" style="1" hidden="1" customWidth="1"/>
    <col min="12" max="12" width="18" style="1" customWidth="1"/>
    <col min="13" max="14" width="9.140625" style="1"/>
    <col min="15" max="15" width="15.140625" style="1" bestFit="1" customWidth="1"/>
    <col min="16" max="16" width="10.5703125" style="1" customWidth="1"/>
    <col min="17" max="17" width="11" style="1" customWidth="1"/>
    <col min="18" max="16384" width="9.140625" style="1"/>
  </cols>
  <sheetData>
    <row r="2" spans="1:12">
      <c r="A2" s="110" t="s">
        <v>87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>
      <c r="A3" s="111" t="s">
        <v>88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>
      <c r="A4" s="111" t="s">
        <v>89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>
      <c r="I5" s="1" t="s">
        <v>18</v>
      </c>
    </row>
    <row r="7" spans="1:12">
      <c r="I7" s="1" t="s">
        <v>18</v>
      </c>
    </row>
    <row r="8" spans="1:12" ht="18" customHeight="1">
      <c r="F8" s="110" t="s">
        <v>90</v>
      </c>
      <c r="G8" s="110"/>
      <c r="H8" s="110"/>
      <c r="I8" s="110"/>
      <c r="J8" s="110"/>
      <c r="K8" s="110"/>
      <c r="L8" s="110"/>
    </row>
    <row r="9" spans="1:12" ht="18" customHeight="1">
      <c r="A9" s="1" t="s">
        <v>20</v>
      </c>
      <c r="F9" s="2" t="s">
        <v>21</v>
      </c>
      <c r="G9" s="2" t="s">
        <v>21</v>
      </c>
      <c r="I9" s="2" t="s">
        <v>21</v>
      </c>
      <c r="J9" s="2" t="s">
        <v>21</v>
      </c>
      <c r="L9" s="2" t="s">
        <v>21</v>
      </c>
    </row>
    <row r="10" spans="1:12" ht="18" customHeight="1">
      <c r="A10" s="1" t="s">
        <v>22</v>
      </c>
      <c r="F10" s="2">
        <v>313</v>
      </c>
      <c r="G10" s="2">
        <v>313</v>
      </c>
      <c r="I10" s="2">
        <v>313</v>
      </c>
      <c r="J10" s="2">
        <v>313</v>
      </c>
      <c r="L10" s="2">
        <v>313</v>
      </c>
    </row>
    <row r="11" spans="1:12" ht="18" customHeight="1">
      <c r="F11" s="2" t="s">
        <v>23</v>
      </c>
      <c r="G11" s="2" t="s">
        <v>23</v>
      </c>
      <c r="I11" s="2" t="s">
        <v>24</v>
      </c>
      <c r="J11" s="2" t="s">
        <v>24</v>
      </c>
      <c r="L11" s="74" t="s">
        <v>23</v>
      </c>
    </row>
    <row r="12" spans="1:12" ht="18" customHeight="1">
      <c r="F12" s="2" t="s">
        <v>25</v>
      </c>
      <c r="G12" s="2" t="s">
        <v>26</v>
      </c>
      <c r="I12" s="2" t="s">
        <v>25</v>
      </c>
      <c r="J12" s="2" t="s">
        <v>26</v>
      </c>
      <c r="L12" s="2" t="s">
        <v>27</v>
      </c>
    </row>
    <row r="13" spans="1:12" ht="18" customHeight="1"/>
    <row r="14" spans="1:12" ht="18" customHeight="1">
      <c r="A14" s="10" t="s">
        <v>28</v>
      </c>
    </row>
    <row r="15" spans="1:12" ht="18" customHeight="1">
      <c r="A15" s="1" t="s">
        <v>29</v>
      </c>
      <c r="E15" s="2" t="s">
        <v>30</v>
      </c>
      <c r="F15" s="57">
        <v>350</v>
      </c>
      <c r="G15" s="57">
        <v>350</v>
      </c>
      <c r="H15" s="2" t="s">
        <v>30</v>
      </c>
      <c r="I15" s="57">
        <v>350</v>
      </c>
      <c r="J15" s="57">
        <v>350</v>
      </c>
      <c r="L15" s="57">
        <v>350</v>
      </c>
    </row>
    <row r="16" spans="1:12" ht="18" customHeight="1"/>
    <row r="17" spans="1:17">
      <c r="A17" s="1" t="s">
        <v>31</v>
      </c>
      <c r="F17" s="57">
        <f>ROUND((F15*F10/12),2)</f>
        <v>9129.17</v>
      </c>
      <c r="G17" s="57">
        <f>ROUND((G15*G10/12),2)</f>
        <v>9129.17</v>
      </c>
      <c r="H17" s="58"/>
      <c r="I17" s="57">
        <f>ROUND((I15*I10/12),2)</f>
        <v>9129.17</v>
      </c>
      <c r="J17" s="57">
        <f>ROUND((J15*J10/12),2)</f>
        <v>9129.17</v>
      </c>
      <c r="L17" s="57">
        <f>ROUND((L15*L10/12),2)</f>
        <v>9129.17</v>
      </c>
    </row>
    <row r="18" spans="1:17" ht="19.5" customHeight="1">
      <c r="A18" s="1" t="s">
        <v>32</v>
      </c>
      <c r="F18" s="57">
        <v>0</v>
      </c>
      <c r="G18" s="57">
        <f>ROUND(G17*10%*1/3,2)</f>
        <v>304.31</v>
      </c>
      <c r="H18" s="58"/>
      <c r="I18" s="57">
        <v>0</v>
      </c>
      <c r="J18" s="57">
        <f>+J17*10%*1/2</f>
        <v>456.45850000000002</v>
      </c>
      <c r="L18" s="57">
        <f>ROUND(L17*10%*1/3,2)</f>
        <v>304.31</v>
      </c>
    </row>
    <row r="19" spans="1:17" ht="18" customHeight="1">
      <c r="A19" s="1" t="s">
        <v>33</v>
      </c>
      <c r="F19" s="57">
        <f>ROUND((F15*365/12/12),2)</f>
        <v>887.15</v>
      </c>
      <c r="G19" s="57">
        <f>ROUND((G15*365/12/12),2)</f>
        <v>887.15</v>
      </c>
      <c r="H19" s="58"/>
      <c r="I19" s="57">
        <f>ROUND((I15*365/12/12),2)</f>
        <v>887.15</v>
      </c>
      <c r="J19" s="57">
        <f>ROUND((J15*365/12/12),2)</f>
        <v>887.15</v>
      </c>
      <c r="L19" s="57">
        <f>ROUND((L15*365/12/12),2)</f>
        <v>887.15</v>
      </c>
    </row>
    <row r="20" spans="1:17" ht="18" customHeight="1">
      <c r="A20" s="1" t="s">
        <v>34</v>
      </c>
      <c r="F20" s="57">
        <f>ROUND(+F15*(5/12),2)</f>
        <v>145.83000000000001</v>
      </c>
      <c r="G20" s="57">
        <f>ROUND(+G15*(5/12),2)</f>
        <v>145.83000000000001</v>
      </c>
      <c r="H20" s="58"/>
      <c r="I20" s="13">
        <f>I15*(5/12)</f>
        <v>145.83333333333334</v>
      </c>
      <c r="J20" s="13">
        <f>J15*(5/12)</f>
        <v>145.83333333333334</v>
      </c>
      <c r="L20" s="57">
        <f>ROUND(+L15*(5/12),2)</f>
        <v>145.83000000000001</v>
      </c>
    </row>
    <row r="21" spans="1:17" ht="18" customHeight="1">
      <c r="A21" s="1" t="s">
        <v>35</v>
      </c>
      <c r="F21" s="57">
        <v>100</v>
      </c>
      <c r="G21" s="57">
        <v>100</v>
      </c>
      <c r="H21" s="58"/>
      <c r="I21" s="14">
        <v>100</v>
      </c>
      <c r="J21" s="57">
        <v>100</v>
      </c>
      <c r="L21" s="57">
        <v>100</v>
      </c>
    </row>
    <row r="22" spans="1:17" ht="21" customHeight="1">
      <c r="A22" s="1" t="s">
        <v>36</v>
      </c>
      <c r="F22" s="59">
        <v>0</v>
      </c>
      <c r="G22" s="59">
        <f>0*377/12</f>
        <v>0</v>
      </c>
      <c r="H22" s="60"/>
      <c r="I22" s="61">
        <f>+F54</f>
        <v>5980.479166666667</v>
      </c>
      <c r="J22" s="61">
        <f>+J54</f>
        <v>6578.5275000000001</v>
      </c>
      <c r="L22" s="59">
        <f>0*377/12</f>
        <v>0</v>
      </c>
    </row>
    <row r="23" spans="1:17" ht="18" customHeight="1">
      <c r="F23" s="13">
        <f>ROUND(SUM(F17:F22),2)</f>
        <v>10262.15</v>
      </c>
      <c r="G23" s="13">
        <f t="shared" ref="G23:L23" si="0">ROUND(SUM(G17:G22),2)</f>
        <v>10566.46</v>
      </c>
      <c r="H23" s="13">
        <f t="shared" si="0"/>
        <v>0</v>
      </c>
      <c r="I23" s="13">
        <f t="shared" si="0"/>
        <v>16242.63</v>
      </c>
      <c r="J23" s="13">
        <f t="shared" si="0"/>
        <v>17297.14</v>
      </c>
      <c r="K23" s="13">
        <f t="shared" si="0"/>
        <v>0</v>
      </c>
      <c r="L23" s="13">
        <f t="shared" si="0"/>
        <v>10566.46</v>
      </c>
      <c r="O23" s="6"/>
      <c r="P23" s="6"/>
      <c r="Q23" s="6"/>
    </row>
    <row r="24" spans="1:17" ht="18" customHeight="1">
      <c r="F24" s="13"/>
      <c r="I24" s="13"/>
      <c r="J24" s="13"/>
    </row>
    <row r="25" spans="1:17" ht="18" customHeight="1">
      <c r="A25" s="10" t="s">
        <v>37</v>
      </c>
      <c r="F25" s="13"/>
      <c r="G25" s="13"/>
      <c r="H25" s="13"/>
      <c r="I25" s="13"/>
      <c r="J25" s="13"/>
      <c r="L25" s="13"/>
    </row>
    <row r="26" spans="1:17" ht="18" customHeight="1">
      <c r="A26" s="1" t="s">
        <v>38</v>
      </c>
      <c r="E26" s="2" t="s">
        <v>30</v>
      </c>
      <c r="F26" s="62">
        <f>ROUND(+F15*22.5/12,2)</f>
        <v>656.25</v>
      </c>
      <c r="G26" s="62">
        <f t="shared" ref="G26:L26" si="1">ROUND(+G15*22.5/12,2)</f>
        <v>656.25</v>
      </c>
      <c r="H26" s="62" t="e">
        <f t="shared" si="1"/>
        <v>#VALUE!</v>
      </c>
      <c r="I26" s="62">
        <f t="shared" si="1"/>
        <v>656.25</v>
      </c>
      <c r="J26" s="62">
        <f t="shared" si="1"/>
        <v>656.25</v>
      </c>
      <c r="K26" s="62">
        <f t="shared" si="1"/>
        <v>0</v>
      </c>
      <c r="L26" s="62">
        <f t="shared" si="1"/>
        <v>656.25</v>
      </c>
    </row>
    <row r="27" spans="1:17" ht="18" customHeight="1">
      <c r="A27" s="1" t="s">
        <v>39</v>
      </c>
      <c r="F27" s="62">
        <v>902.5</v>
      </c>
      <c r="G27" s="62">
        <v>902.5</v>
      </c>
      <c r="H27" s="62">
        <v>902.5</v>
      </c>
      <c r="I27" s="62">
        <v>1472.5</v>
      </c>
      <c r="J27" s="62">
        <v>1567.5</v>
      </c>
      <c r="K27" s="62"/>
      <c r="L27" s="62">
        <v>902.5</v>
      </c>
    </row>
    <row r="28" spans="1:17" ht="18" customHeight="1">
      <c r="A28" s="1" t="s">
        <v>40</v>
      </c>
      <c r="F28" s="62">
        <v>0</v>
      </c>
      <c r="G28" s="62">
        <v>0</v>
      </c>
      <c r="H28" s="77"/>
      <c r="I28" s="62">
        <v>0</v>
      </c>
      <c r="J28" s="62">
        <v>0</v>
      </c>
      <c r="K28" s="37"/>
      <c r="L28" s="62">
        <v>0</v>
      </c>
    </row>
    <row r="29" spans="1:17" ht="18" customHeight="1">
      <c r="A29" s="1" t="s">
        <v>72</v>
      </c>
      <c r="F29" s="62">
        <f>ROUND((F17*0.05)/2,2)</f>
        <v>228.23</v>
      </c>
      <c r="G29" s="62">
        <f>ROUND((G17*0.05)/2,2)</f>
        <v>228.23</v>
      </c>
      <c r="H29" s="77"/>
      <c r="I29" s="62">
        <f>ROUND((I17*0.05/2),2)</f>
        <v>228.23</v>
      </c>
      <c r="J29" s="62">
        <f>ROUND((J17*0.05/2),2)</f>
        <v>228.23</v>
      </c>
      <c r="K29" s="37"/>
      <c r="L29" s="62">
        <f>ROUND((L17*0.05)/2,2)</f>
        <v>228.23</v>
      </c>
    </row>
    <row r="30" spans="1:17" ht="18" customHeight="1">
      <c r="A30" s="1" t="s">
        <v>42</v>
      </c>
      <c r="F30" s="62">
        <v>10</v>
      </c>
      <c r="G30" s="62">
        <v>10</v>
      </c>
      <c r="H30" s="77"/>
      <c r="I30" s="62">
        <v>30</v>
      </c>
      <c r="J30" s="62">
        <v>30</v>
      </c>
      <c r="K30" s="37"/>
      <c r="L30" s="62">
        <v>10</v>
      </c>
    </row>
    <row r="31" spans="1:17" ht="18" customHeight="1">
      <c r="A31" s="1" t="s">
        <v>43</v>
      </c>
      <c r="F31" s="63">
        <v>100</v>
      </c>
      <c r="G31" s="63">
        <v>100</v>
      </c>
      <c r="H31" s="60"/>
      <c r="I31" s="59">
        <v>100</v>
      </c>
      <c r="J31" s="59">
        <v>100</v>
      </c>
      <c r="L31" s="63">
        <v>100</v>
      </c>
    </row>
    <row r="32" spans="1:17" ht="18" customHeight="1">
      <c r="F32" s="21">
        <f>ROUND(SUM(F26:F31),2)</f>
        <v>1896.98</v>
      </c>
      <c r="G32" s="21">
        <f>ROUND(SUM(G26:G31),2)</f>
        <v>1896.98</v>
      </c>
      <c r="H32" s="18"/>
      <c r="I32" s="13">
        <f>SUM(I26:I31)</f>
        <v>2486.98</v>
      </c>
      <c r="J32" s="13">
        <f>SUM(J26:J31)</f>
        <v>2581.98</v>
      </c>
      <c r="L32" s="21">
        <f>ROUND(SUM(L26:L31),2)</f>
        <v>1896.98</v>
      </c>
    </row>
    <row r="33" spans="1:12" ht="18" customHeight="1"/>
    <row r="34" spans="1:12" ht="18" customHeight="1">
      <c r="F34" s="10"/>
      <c r="G34" s="10"/>
      <c r="H34" s="7"/>
      <c r="L34" s="10"/>
    </row>
    <row r="35" spans="1:12" ht="18" customHeight="1">
      <c r="A35" s="10" t="s">
        <v>44</v>
      </c>
      <c r="E35" s="2" t="s">
        <v>30</v>
      </c>
      <c r="F35" s="22">
        <f>ROUND(+F23+F32,2)</f>
        <v>12159.13</v>
      </c>
      <c r="G35" s="22">
        <f>ROUND(+G23+G32,2)</f>
        <v>12463.44</v>
      </c>
      <c r="H35" s="2" t="s">
        <v>30</v>
      </c>
      <c r="I35" s="22">
        <f>+I32+I23</f>
        <v>18729.61</v>
      </c>
      <c r="J35" s="22">
        <f>+J32+J23</f>
        <v>19879.12</v>
      </c>
      <c r="L35" s="22">
        <f>ROUND(+L23+L32,2)</f>
        <v>12463.44</v>
      </c>
    </row>
    <row r="36" spans="1:12" ht="18" customHeight="1"/>
    <row r="37" spans="1:12" ht="18" customHeight="1" thickBot="1">
      <c r="A37" s="10" t="s">
        <v>45</v>
      </c>
    </row>
    <row r="38" spans="1:12">
      <c r="A38" s="109" t="s">
        <v>46</v>
      </c>
      <c r="B38" s="109"/>
      <c r="C38" s="109"/>
      <c r="D38" s="73"/>
      <c r="F38" s="65" t="str">
        <f>IF(D38="","-",IF(D38&lt;20%,"ERROR",IF(D38&gt;24%,"ERROR",ROUND(+F35*D38,2))))</f>
        <v>-</v>
      </c>
      <c r="G38" s="65" t="str">
        <f>IF(D38="","-",IF(D38&lt;20%,"ERROR",IF(D38&gt;24%,"ERROR",ROUND(+G35*D38,2))))</f>
        <v>-</v>
      </c>
      <c r="H38" s="65"/>
      <c r="I38" s="22">
        <f>I35*0.24</f>
        <v>4495.1063999999997</v>
      </c>
      <c r="J38" s="22">
        <f>J35*0.24</f>
        <v>4770.9887999999992</v>
      </c>
      <c r="L38" s="65" t="str">
        <f>IF(D38="","-",IF(D38&lt;20%,"ERROR",IF(D38&gt;24%,"ERROR",ROUND(+L35*D38,2))))</f>
        <v>-</v>
      </c>
    </row>
    <row r="39" spans="1:12" ht="18" customHeight="1">
      <c r="F39" s="10"/>
      <c r="G39" s="10"/>
      <c r="H39" s="7"/>
      <c r="I39" s="10"/>
      <c r="J39" s="10"/>
      <c r="L39" s="10"/>
    </row>
    <row r="40" spans="1:12" ht="18" customHeight="1">
      <c r="A40" s="10" t="s">
        <v>47</v>
      </c>
      <c r="F40" s="64" t="e">
        <f>ROUND(+F38*0.12,2)</f>
        <v>#VALUE!</v>
      </c>
      <c r="G40" s="64" t="e">
        <f>ROUND(+G38*0.12,2)</f>
        <v>#VALUE!</v>
      </c>
      <c r="H40" s="65"/>
      <c r="I40" s="64">
        <f>+I38*0.12</f>
        <v>539.41276799999991</v>
      </c>
      <c r="J40" s="64">
        <f>+J38*0.12</f>
        <v>572.51865599999985</v>
      </c>
      <c r="L40" s="64" t="e">
        <f>ROUND(+L38*0.12,2)</f>
        <v>#VALUE!</v>
      </c>
    </row>
    <row r="41" spans="1:12" ht="18" customHeight="1"/>
    <row r="42" spans="1:12" ht="18" customHeight="1" thickBot="1">
      <c r="A42" s="10" t="s">
        <v>48</v>
      </c>
      <c r="E42" s="2" t="s">
        <v>30</v>
      </c>
      <c r="F42" s="66" t="e">
        <f>ROUND(+F35+F38+F40,2)</f>
        <v>#VALUE!</v>
      </c>
      <c r="G42" s="66" t="e">
        <f>ROUND(+G35+G38+G40,2)</f>
        <v>#VALUE!</v>
      </c>
      <c r="H42" s="2" t="s">
        <v>30</v>
      </c>
      <c r="I42" s="26">
        <f>I35+I38+I40</f>
        <v>23764.129167999999</v>
      </c>
      <c r="J42" s="26">
        <f>J35+J38+J40</f>
        <v>25222.627455999998</v>
      </c>
      <c r="L42" s="66" t="e">
        <f>ROUND(+L35+L38+L40,2)</f>
        <v>#VALUE!</v>
      </c>
    </row>
    <row r="43" spans="1:12" ht="18" customHeight="1" thickTop="1"/>
    <row r="44" spans="1:12" ht="18" hidden="1" customHeight="1"/>
    <row r="45" spans="1:12" hidden="1">
      <c r="F45" s="57"/>
      <c r="G45" s="57"/>
      <c r="H45" s="58"/>
      <c r="L45" s="57"/>
    </row>
    <row r="46" spans="1:12" hidden="1">
      <c r="B46" s="1" t="s">
        <v>49</v>
      </c>
      <c r="F46" s="13"/>
      <c r="G46" s="13"/>
      <c r="H46" s="18"/>
      <c r="I46" s="1" t="s">
        <v>50</v>
      </c>
      <c r="L46" s="13"/>
    </row>
    <row r="47" spans="1:12" hidden="1"/>
    <row r="48" spans="1:12" hidden="1">
      <c r="B48" s="1" t="s">
        <v>51</v>
      </c>
      <c r="C48" s="18">
        <f>F15/8</f>
        <v>43.75</v>
      </c>
      <c r="D48" s="18"/>
      <c r="I48" s="1" t="s">
        <v>51</v>
      </c>
      <c r="J48" s="18">
        <f>I15/8</f>
        <v>43.75</v>
      </c>
    </row>
    <row r="49" spans="1:12" hidden="1">
      <c r="A49" s="2">
        <v>295</v>
      </c>
      <c r="B49" s="1" t="s">
        <v>52</v>
      </c>
      <c r="F49" s="57">
        <f>ROUND((C48*1.25*295*4),2)</f>
        <v>64531.25</v>
      </c>
      <c r="I49" s="1" t="s">
        <v>53</v>
      </c>
      <c r="J49" s="67">
        <f>ROUND((J48*1.375*A49*4),2)</f>
        <v>70984.38</v>
      </c>
    </row>
    <row r="50" spans="1:12" hidden="1">
      <c r="A50" s="2">
        <v>12</v>
      </c>
      <c r="B50" s="1" t="s">
        <v>54</v>
      </c>
      <c r="F50" s="57">
        <f>ROUND((C48*2.6*12*4),2)</f>
        <v>5460</v>
      </c>
      <c r="I50" s="1" t="s">
        <v>55</v>
      </c>
      <c r="J50" s="67">
        <f>ROUND((J48*2.86*A50*4),2)</f>
        <v>6006</v>
      </c>
    </row>
    <row r="51" spans="1:12" hidden="1">
      <c r="A51" s="2">
        <v>6</v>
      </c>
      <c r="B51" s="1" t="s">
        <v>56</v>
      </c>
      <c r="F51" s="57">
        <f>ROUND((C48*1.69*A51*4),2)</f>
        <v>1774.5</v>
      </c>
      <c r="I51" s="1" t="s">
        <v>57</v>
      </c>
      <c r="J51" s="61">
        <f>ROUND((J48*1.859*A51*4),2)</f>
        <v>1951.95</v>
      </c>
    </row>
    <row r="52" spans="1:12" hidden="1">
      <c r="F52" s="28">
        <f>SUM(F49:F51)</f>
        <v>71765.75</v>
      </c>
      <c r="J52" s="67">
        <f>SUM(J49:J51)</f>
        <v>78942.33</v>
      </c>
    </row>
    <row r="53" spans="1:12" hidden="1">
      <c r="B53" s="1" t="s">
        <v>58</v>
      </c>
      <c r="F53" s="29">
        <v>12</v>
      </c>
      <c r="I53" s="1" t="s">
        <v>59</v>
      </c>
      <c r="J53" s="29">
        <v>12</v>
      </c>
    </row>
    <row r="54" spans="1:12" ht="16.5" hidden="1" thickBot="1">
      <c r="B54" s="1" t="s">
        <v>60</v>
      </c>
      <c r="F54" s="66">
        <f>F52/F53</f>
        <v>5980.479166666667</v>
      </c>
      <c r="I54" s="1" t="s">
        <v>61</v>
      </c>
      <c r="J54" s="30">
        <f>J52/J53</f>
        <v>6578.5275000000001</v>
      </c>
    </row>
    <row r="55" spans="1:12" ht="16.5" hidden="1" thickTop="1">
      <c r="F55" s="13"/>
    </row>
    <row r="56" spans="1:12" hidden="1">
      <c r="B56" s="10" t="s">
        <v>62</v>
      </c>
      <c r="F56" s="13"/>
      <c r="I56" s="10"/>
    </row>
    <row r="57" spans="1:12" ht="15" hidden="1" customHeight="1">
      <c r="B57" s="1" t="s">
        <v>91</v>
      </c>
    </row>
    <row r="58" spans="1:12" hidden="1">
      <c r="B58" s="1" t="s">
        <v>64</v>
      </c>
    </row>
    <row r="59" spans="1:12" hidden="1">
      <c r="B59" s="1" t="s">
        <v>92</v>
      </c>
    </row>
    <row r="60" spans="1:12" hidden="1">
      <c r="B60" s="1" t="s">
        <v>93</v>
      </c>
    </row>
    <row r="61" spans="1:12" hidden="1"/>
    <row r="62" spans="1:12" ht="16.5" hidden="1" thickBot="1">
      <c r="B62" s="1" t="s">
        <v>65</v>
      </c>
      <c r="F62" s="68">
        <f>F23-F19</f>
        <v>9375</v>
      </c>
      <c r="G62" s="68">
        <f>G23-G19</f>
        <v>9679.31</v>
      </c>
      <c r="I62" s="68">
        <f>I23-I19</f>
        <v>15355.48</v>
      </c>
      <c r="J62" s="68">
        <f>J23-J19</f>
        <v>16409.989999999998</v>
      </c>
      <c r="L62" s="68">
        <f>L23-L19</f>
        <v>9679.31</v>
      </c>
    </row>
    <row r="63" spans="1:12" hidden="1">
      <c r="F63" s="78"/>
      <c r="G63" s="78"/>
      <c r="I63" s="78"/>
      <c r="J63" s="78"/>
      <c r="L63" s="78"/>
    </row>
    <row r="64" spans="1:12">
      <c r="A64" s="1" t="s">
        <v>94</v>
      </c>
    </row>
    <row r="66" spans="1:15">
      <c r="A66" s="1" t="s">
        <v>67</v>
      </c>
      <c r="F66" s="2">
        <v>10</v>
      </c>
      <c r="G66" s="2">
        <v>5</v>
      </c>
      <c r="I66" s="2"/>
      <c r="J66" s="2"/>
      <c r="L66" s="2">
        <v>3</v>
      </c>
    </row>
    <row r="68" spans="1:15">
      <c r="A68" s="1" t="s">
        <v>68</v>
      </c>
      <c r="F68" s="13" t="e">
        <f>ROUND(F42*F66,2)</f>
        <v>#VALUE!</v>
      </c>
      <c r="G68" s="13" t="e">
        <f>ROUND(G42*G66,2)</f>
        <v>#VALUE!</v>
      </c>
      <c r="I68" s="34">
        <f>I42*I66</f>
        <v>0</v>
      </c>
      <c r="J68" s="34">
        <f>J42*J66</f>
        <v>0</v>
      </c>
      <c r="L68" s="13" t="e">
        <f>ROUND(L42*L66,2)</f>
        <v>#VALUE!</v>
      </c>
    </row>
    <row r="70" spans="1:15" ht="15.95" customHeight="1" thickBot="1">
      <c r="A70" s="109" t="s">
        <v>95</v>
      </c>
      <c r="B70" s="109"/>
      <c r="C70" s="109"/>
      <c r="D70" s="56"/>
      <c r="F70" s="33" t="e">
        <f>ROUND(F68*12,2)</f>
        <v>#VALUE!</v>
      </c>
      <c r="G70" s="33" t="e">
        <f>ROUND(G68*12,2)</f>
        <v>#VALUE!</v>
      </c>
      <c r="H70" s="71"/>
      <c r="I70" s="75">
        <f>I68*12</f>
        <v>0</v>
      </c>
      <c r="J70" s="75">
        <f>J68*12</f>
        <v>0</v>
      </c>
      <c r="K70" s="70"/>
      <c r="L70" s="33" t="e">
        <f>ROUND(L68*12,2)</f>
        <v>#VALUE!</v>
      </c>
      <c r="O70" s="6"/>
    </row>
    <row r="71" spans="1:15" ht="16.5" thickTop="1"/>
    <row r="72" spans="1:15" ht="19.5" thickBot="1">
      <c r="L72" s="72" t="e">
        <f>SUM(L70,F70,G70)</f>
        <v>#VALUE!</v>
      </c>
    </row>
    <row r="73" spans="1:15" ht="16.5" thickTop="1"/>
  </sheetData>
  <sheetProtection algorithmName="SHA-512" hashValue="16boRogNPWnFX4KdzMD1FkNOVejEsLPBIFgMQPrGzVZKKwfiqoLrTk2mv4VaTY+rdq1lC0r5dZP9N0aUC3hW7A==" saltValue="3eBFLvOL1oAaT4hDZnsh1A==" spinCount="100000" sheet="1" objects="1" scenarios="1"/>
  <mergeCells count="6">
    <mergeCell ref="A70:C70"/>
    <mergeCell ref="F8:L8"/>
    <mergeCell ref="A38:C38"/>
    <mergeCell ref="A2:L2"/>
    <mergeCell ref="A3:L3"/>
    <mergeCell ref="A4:L4"/>
  </mergeCells>
  <conditionalFormatting sqref="D38">
    <cfRule type="containsBlanks" dxfId="1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EF93-13C1-4721-8D15-383C05E10D37}">
  <sheetPr>
    <pageSetUpPr fitToPage="1"/>
  </sheetPr>
  <dimension ref="A1:K61"/>
  <sheetViews>
    <sheetView topLeftCell="A10" zoomScale="106" zoomScaleNormal="106" workbookViewId="0">
      <selection activeCell="C21" sqref="C21"/>
    </sheetView>
  </sheetViews>
  <sheetFormatPr defaultColWidth="8.85546875" defaultRowHeight="15"/>
  <cols>
    <col min="1" max="1" width="8.85546875" style="40"/>
    <col min="2" max="2" width="54.5703125" style="40" customWidth="1"/>
    <col min="3" max="3" width="14.140625" style="40" customWidth="1"/>
    <col min="4" max="4" width="13.42578125" style="40" customWidth="1"/>
    <col min="5" max="5" width="14.140625" style="40" customWidth="1"/>
    <col min="6" max="6" width="9.85546875" style="40" bestFit="1" customWidth="1"/>
    <col min="7" max="7" width="0" style="40" hidden="1" customWidth="1"/>
    <col min="8" max="8" width="42.5703125" style="40" hidden="1" customWidth="1"/>
    <col min="9" max="9" width="11.42578125" style="40" hidden="1" customWidth="1"/>
    <col min="10" max="16384" width="8.85546875" style="40"/>
  </cols>
  <sheetData>
    <row r="1" spans="1:11">
      <c r="A1" s="39" t="s">
        <v>96</v>
      </c>
    </row>
    <row r="2" spans="1:11">
      <c r="A2" s="39" t="s">
        <v>97</v>
      </c>
    </row>
    <row r="5" spans="1:11">
      <c r="A5" s="40" t="s">
        <v>98</v>
      </c>
      <c r="C5" s="41"/>
      <c r="E5" s="42">
        <v>50000</v>
      </c>
      <c r="F5" s="81"/>
      <c r="H5" s="39" t="s">
        <v>99</v>
      </c>
    </row>
    <row r="6" spans="1:11">
      <c r="A6" s="40" t="s">
        <v>100</v>
      </c>
      <c r="C6" s="41"/>
      <c r="D6" s="42"/>
      <c r="E6" s="43">
        <f>ROUND(E5/12,2)</f>
        <v>4166.67</v>
      </c>
    </row>
    <row r="7" spans="1:11">
      <c r="A7" s="40" t="s">
        <v>101</v>
      </c>
      <c r="E7" s="44">
        <f>+E5+E6</f>
        <v>54166.67</v>
      </c>
      <c r="H7" s="39" t="s">
        <v>102</v>
      </c>
      <c r="I7" s="44">
        <f>E5</f>
        <v>50000</v>
      </c>
    </row>
    <row r="8" spans="1:11">
      <c r="H8" s="40" t="s">
        <v>103</v>
      </c>
    </row>
    <row r="9" spans="1:11">
      <c r="A9" s="39" t="s">
        <v>104</v>
      </c>
      <c r="C9" s="55" t="s">
        <v>105</v>
      </c>
      <c r="D9" s="55" t="s">
        <v>106</v>
      </c>
      <c r="H9" s="45" t="s">
        <v>107</v>
      </c>
      <c r="I9" s="43">
        <f>D16</f>
        <v>2700</v>
      </c>
      <c r="K9" s="40" t="s">
        <v>18</v>
      </c>
    </row>
    <row r="10" spans="1:11" ht="15.95" customHeight="1">
      <c r="A10" s="39"/>
      <c r="B10" s="40" t="s">
        <v>85</v>
      </c>
      <c r="C10" s="44">
        <f>(E5*12/313)*22.5/12</f>
        <v>3594.2492012779553</v>
      </c>
      <c r="D10" s="46">
        <v>0</v>
      </c>
      <c r="H10" s="47" t="s">
        <v>108</v>
      </c>
      <c r="I10" s="48">
        <f>I7-I9</f>
        <v>47300</v>
      </c>
    </row>
    <row r="11" spans="1:11">
      <c r="B11" s="40" t="s">
        <v>109</v>
      </c>
      <c r="C11" s="44">
        <v>1900</v>
      </c>
      <c r="D11" s="46">
        <v>900</v>
      </c>
      <c r="H11" s="45" t="s">
        <v>110</v>
      </c>
      <c r="I11" s="49">
        <f>(I10-33333)*0.2+2500</f>
        <v>5293.4</v>
      </c>
    </row>
    <row r="12" spans="1:11" ht="15.75" thickBot="1">
      <c r="B12" s="40" t="s">
        <v>40</v>
      </c>
      <c r="C12" s="44">
        <v>950</v>
      </c>
      <c r="D12" s="46">
        <v>450</v>
      </c>
      <c r="H12" s="39" t="s">
        <v>111</v>
      </c>
      <c r="I12" s="50">
        <f>ROUND(I10-I11,2)</f>
        <v>42006.6</v>
      </c>
    </row>
    <row r="13" spans="1:11" ht="15.75" thickTop="1">
      <c r="B13" s="40" t="s">
        <v>112</v>
      </c>
      <c r="C13" s="44">
        <f>ROUND(E5*0.05/2,2)</f>
        <v>1250</v>
      </c>
      <c r="D13" s="46">
        <f>C13</f>
        <v>1250</v>
      </c>
    </row>
    <row r="14" spans="1:11">
      <c r="B14" s="40" t="s">
        <v>42</v>
      </c>
      <c r="C14" s="44">
        <v>30</v>
      </c>
      <c r="D14" s="46">
        <v>0</v>
      </c>
      <c r="I14" s="44"/>
    </row>
    <row r="15" spans="1:11">
      <c r="B15" s="40" t="s">
        <v>43</v>
      </c>
      <c r="C15" s="43">
        <v>100</v>
      </c>
      <c r="D15" s="51">
        <v>100</v>
      </c>
      <c r="I15" s="44"/>
    </row>
    <row r="16" spans="1:11">
      <c r="C16" s="79">
        <f>ROUND(SUM(C10:C15),2)</f>
        <v>7824.25</v>
      </c>
      <c r="D16" s="79">
        <f>ROUND(SUM(D10:D15),2)</f>
        <v>2700</v>
      </c>
      <c r="E16" s="80">
        <f>C16</f>
        <v>7824.25</v>
      </c>
      <c r="I16" s="44"/>
    </row>
    <row r="18" spans="1:9">
      <c r="A18" s="39" t="s">
        <v>113</v>
      </c>
      <c r="D18" s="81"/>
      <c r="E18" s="82">
        <f>ROUND(SUM(E7:E16),2)</f>
        <v>61990.92</v>
      </c>
    </row>
    <row r="20" spans="1:9" ht="15.75" thickBot="1">
      <c r="A20" s="39" t="s">
        <v>45</v>
      </c>
    </row>
    <row r="21" spans="1:9" ht="15.75" thickBot="1">
      <c r="B21" s="40" t="s">
        <v>114</v>
      </c>
      <c r="C21" s="89"/>
      <c r="D21" s="81"/>
      <c r="E21" s="101" t="str">
        <f>IF(C21="","-",IF(C21&lt;20%,"ERROR",IF(C21&gt;24%,"ERROR",ROUND(E18*C21,2))))</f>
        <v>-</v>
      </c>
    </row>
    <row r="23" spans="1:9">
      <c r="A23" s="39" t="s">
        <v>115</v>
      </c>
      <c r="C23" s="83"/>
      <c r="D23" s="81"/>
      <c r="E23" s="84" t="e">
        <f>ROUND(E21*0.12,2)</f>
        <v>#VALUE!</v>
      </c>
    </row>
    <row r="25" spans="1:9" ht="15.75" thickBot="1">
      <c r="A25" s="39" t="s">
        <v>116</v>
      </c>
      <c r="C25" s="83"/>
      <c r="D25" s="83"/>
      <c r="E25" s="85" t="e">
        <f>ROUND(E18+E21+E23,2)</f>
        <v>#VALUE!</v>
      </c>
    </row>
    <row r="26" spans="1:9" customFormat="1" ht="15.75" thickTop="1">
      <c r="A26" s="40"/>
      <c r="B26" s="40"/>
      <c r="C26" s="40"/>
      <c r="D26" s="40"/>
      <c r="E26" s="40"/>
      <c r="F26" s="40"/>
      <c r="G26" s="53"/>
      <c r="I26" s="40"/>
    </row>
    <row r="27" spans="1:9" customFormat="1">
      <c r="A27" s="86" t="s">
        <v>117</v>
      </c>
      <c r="F27" s="53"/>
      <c r="G27" s="53"/>
      <c r="I27" s="40"/>
    </row>
    <row r="28" spans="1:9">
      <c r="A28" s="86"/>
      <c r="B28"/>
      <c r="C28"/>
      <c r="D28"/>
      <c r="E28"/>
      <c r="F28" s="53"/>
      <c r="G28" s="53"/>
      <c r="H28"/>
    </row>
    <row r="29" spans="1:9">
      <c r="A29" t="s">
        <v>118</v>
      </c>
      <c r="B29"/>
      <c r="C29"/>
      <c r="D29"/>
      <c r="E29" s="87">
        <v>1</v>
      </c>
      <c r="F29" s="53"/>
      <c r="G29" s="53"/>
      <c r="H29"/>
    </row>
    <row r="30" spans="1:9">
      <c r="A30"/>
      <c r="B30"/>
      <c r="C30"/>
      <c r="D30"/>
      <c r="E30"/>
      <c r="F30" s="53"/>
      <c r="G30" s="53"/>
      <c r="H30"/>
    </row>
    <row r="31" spans="1:9" ht="15.75" thickBot="1">
      <c r="A31" t="s">
        <v>119</v>
      </c>
      <c r="B31"/>
      <c r="C31"/>
      <c r="D31"/>
      <c r="E31" s="88" t="e">
        <f>ROUND(E25*E29*12,2)</f>
        <v>#VALUE!</v>
      </c>
      <c r="F31" s="53"/>
    </row>
    <row r="32" spans="1:9" ht="15.75" thickTop="1">
      <c r="B32" s="39"/>
    </row>
    <row r="34" spans="1:5">
      <c r="B34" s="39"/>
    </row>
    <row r="35" spans="1:5">
      <c r="A35" s="52"/>
      <c r="D35" s="52"/>
      <c r="E35" s="52"/>
    </row>
    <row r="36" spans="1:5">
      <c r="D36" s="52"/>
      <c r="E36" s="52"/>
    </row>
    <row r="37" spans="1:5">
      <c r="D37" s="52"/>
      <c r="E37" s="52"/>
    </row>
    <row r="38" spans="1:5" ht="23.25" customHeight="1">
      <c r="D38" s="52"/>
      <c r="E38" s="52"/>
    </row>
    <row r="39" spans="1:5">
      <c r="D39" s="52"/>
      <c r="E39" s="52"/>
    </row>
    <row r="40" spans="1:5">
      <c r="D40" s="52"/>
      <c r="E40" s="52"/>
    </row>
    <row r="41" spans="1:5">
      <c r="C41" s="52"/>
      <c r="D41" s="52"/>
      <c r="E41" s="52"/>
    </row>
    <row r="42" spans="1:5">
      <c r="A42" s="52"/>
      <c r="B42" s="52"/>
      <c r="C42" s="52"/>
      <c r="D42" s="52"/>
      <c r="E42" s="52"/>
    </row>
    <row r="43" spans="1:5">
      <c r="A43" s="52"/>
      <c r="B43" s="52"/>
      <c r="C43" s="52"/>
      <c r="D43" s="52"/>
      <c r="E43" s="52"/>
    </row>
    <row r="44" spans="1:5">
      <c r="A44" s="52"/>
      <c r="B44" s="52"/>
      <c r="C44" s="52"/>
      <c r="D44" s="52"/>
      <c r="E44" s="52"/>
    </row>
    <row r="45" spans="1:5">
      <c r="A45" s="52"/>
      <c r="B45" s="52"/>
      <c r="C45" s="52"/>
      <c r="D45" s="52"/>
      <c r="E45" s="52"/>
    </row>
    <row r="46" spans="1:5">
      <c r="A46" s="52"/>
      <c r="B46" s="52"/>
      <c r="C46" s="52"/>
      <c r="D46" s="52"/>
      <c r="E46" s="52"/>
    </row>
    <row r="47" spans="1:5">
      <c r="A47" s="52"/>
      <c r="B47" s="52"/>
      <c r="C47" s="52"/>
      <c r="D47" s="52"/>
      <c r="E47" s="52"/>
    </row>
    <row r="48" spans="1:5">
      <c r="A48" s="52"/>
      <c r="B48" s="52"/>
      <c r="C48" s="52"/>
      <c r="D48" s="52"/>
      <c r="E48" s="52"/>
    </row>
    <row r="49" spans="1:5">
      <c r="A49" s="52"/>
      <c r="B49" s="52"/>
      <c r="C49" s="52"/>
      <c r="D49" s="52"/>
      <c r="E49" s="52"/>
    </row>
    <row r="50" spans="1:5">
      <c r="A50" s="52"/>
      <c r="B50" s="52"/>
      <c r="C50" s="52"/>
      <c r="D50" s="52"/>
      <c r="E50" s="52"/>
    </row>
    <row r="51" spans="1:5">
      <c r="A51" s="52"/>
      <c r="B51" s="52"/>
      <c r="C51" s="52"/>
      <c r="D51" s="52"/>
      <c r="E51" s="52"/>
    </row>
    <row r="52" spans="1:5">
      <c r="A52" s="52"/>
      <c r="B52" s="52"/>
      <c r="C52" s="52"/>
      <c r="D52" s="52"/>
      <c r="E52" s="52"/>
    </row>
    <row r="53" spans="1:5">
      <c r="A53" s="52"/>
      <c r="B53" s="52"/>
      <c r="C53" s="52"/>
      <c r="D53" s="52"/>
      <c r="E53" s="52"/>
    </row>
    <row r="54" spans="1:5">
      <c r="A54" s="52"/>
      <c r="B54" s="52"/>
      <c r="C54" s="52"/>
      <c r="D54" s="52"/>
      <c r="E54" s="52"/>
    </row>
    <row r="55" spans="1:5" ht="14.45" customHeight="1">
      <c r="A55" s="52"/>
      <c r="B55" s="52"/>
      <c r="C55" s="52"/>
      <c r="D55" s="52"/>
      <c r="E55" s="52"/>
    </row>
    <row r="56" spans="1:5">
      <c r="A56" s="52"/>
      <c r="B56" s="52"/>
      <c r="C56" s="52"/>
      <c r="D56" s="52"/>
      <c r="E56" s="52"/>
    </row>
    <row r="57" spans="1:5">
      <c r="A57" s="52"/>
      <c r="B57" s="52"/>
      <c r="C57" s="52"/>
      <c r="D57" s="52"/>
      <c r="E57" s="52"/>
    </row>
    <row r="58" spans="1:5">
      <c r="A58" s="52"/>
      <c r="B58" s="52"/>
      <c r="C58" s="52"/>
      <c r="D58" s="52"/>
      <c r="E58" s="52"/>
    </row>
    <row r="59" spans="1:5">
      <c r="A59" s="52"/>
      <c r="B59" s="52"/>
      <c r="C59" s="52"/>
      <c r="D59" s="52"/>
      <c r="E59" s="52"/>
    </row>
    <row r="60" spans="1:5">
      <c r="A60" s="52"/>
      <c r="B60" s="52"/>
      <c r="C60" s="52"/>
      <c r="D60" s="52"/>
      <c r="E60" s="52"/>
    </row>
    <row r="61" spans="1:5">
      <c r="A61" s="52"/>
      <c r="B61" s="52"/>
      <c r="C61" s="52"/>
      <c r="D61" s="52"/>
      <c r="E61" s="52"/>
    </row>
  </sheetData>
  <sheetProtection algorithmName="SHA-512" hashValue="B+MITIvCuMt6pPOb8aX63os/+Zyxt8z879yiY+u6SZUdL9UheKD4TkfDTrTc9l1YhpcmHgzH+YKMoa6lRXP+Zw==" saltValue="NER41OGWjeTbWxSIy4mgWw==" spinCount="100000" sheet="1" objects="1" scenarios="1"/>
  <conditionalFormatting sqref="C21">
    <cfRule type="containsBlanks" dxfId="0" priority="1">
      <formula>LEN(TRIM(C21))=0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CAAA54F5FA34BA51040CAB742C29E" ma:contentTypeVersion="16" ma:contentTypeDescription="Create a new document." ma:contentTypeScope="" ma:versionID="9abe76f437ef7bb77f1b288b81358230">
  <xsd:schema xmlns:xsd="http://www.w3.org/2001/XMLSchema" xmlns:xs="http://www.w3.org/2001/XMLSchema" xmlns:p="http://schemas.microsoft.com/office/2006/metadata/properties" xmlns:ns3="0ef6458b-2e26-4a91-bb0e-4be8d074fc11" xmlns:ns4="c7a35127-d575-4605-ae17-b30ae5ca0f22" targetNamespace="http://schemas.microsoft.com/office/2006/metadata/properties" ma:root="true" ma:fieldsID="e2302756e2ba66a01d0e6e8e88f4aa7f" ns3:_="" ns4:_="">
    <xsd:import namespace="0ef6458b-2e26-4a91-bb0e-4be8d074fc11"/>
    <xsd:import namespace="c7a35127-d575-4605-ae17-b30ae5ca0f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6458b-2e26-4a91-bb0e-4be8d074f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35127-d575-4605-ae17-b30ae5ca0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f6458b-2e26-4a91-bb0e-4be8d074fc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4D53B6-CF72-4C50-BE40-E16367675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f6458b-2e26-4a91-bb0e-4be8d074fc11"/>
    <ds:schemaRef ds:uri="c7a35127-d575-4605-ae17-b30ae5ca0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C4D9B-7734-4C48-B9F3-4FCB3D2AF4DE}">
  <ds:schemaRefs>
    <ds:schemaRef ds:uri="http://schemas.microsoft.com/office/2006/metadata/properties"/>
    <ds:schemaRef ds:uri="http://schemas.microsoft.com/office/infopath/2007/PartnerControls"/>
    <ds:schemaRef ds:uri="0ef6458b-2e26-4a91-bb0e-4be8d074fc11"/>
  </ds:schemaRefs>
</ds:datastoreItem>
</file>

<file path=customXml/itemProps3.xml><?xml version="1.0" encoding="utf-8"?>
<ds:datastoreItem xmlns:ds="http://schemas.openxmlformats.org/officeDocument/2006/customXml" ds:itemID="{0FC38B03-F711-4C03-807B-3CAB27A04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Basay</vt:lpstr>
      <vt:lpstr>Bagacay</vt:lpstr>
      <vt:lpstr>Toril12</vt:lpstr>
      <vt:lpstr>Toril</vt:lpstr>
      <vt:lpstr>Nonoc</vt:lpstr>
      <vt:lpstr>AO</vt:lpstr>
      <vt:lpstr>Bagacay!Print_Area</vt:lpstr>
      <vt:lpstr>Basay!Print_Area</vt:lpstr>
      <vt:lpstr>Nonoc!Print_Area</vt:lpstr>
      <vt:lpstr>Toril!Print_Area</vt:lpstr>
      <vt:lpstr>Toril12!Print_Area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Shara Valdeabella</dc:creator>
  <cp:keywords/>
  <dc:description/>
  <cp:lastModifiedBy>Tess Natividad</cp:lastModifiedBy>
  <cp:revision/>
  <dcterms:created xsi:type="dcterms:W3CDTF">2022-09-08T07:38:08Z</dcterms:created>
  <dcterms:modified xsi:type="dcterms:W3CDTF">2023-11-22T02:04:45Z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0x01010032CCAAA54F5FA34BA51040CAB742C29E</vt:lpwstr>
  </property>
</Properties>
</file>