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jsttong\Downloads\"/>
    </mc:Choice>
  </mc:AlternateContent>
  <xr:revisionPtr revIDLastSave="0" documentId="13_ncr:1_{76BEA1D2-C852-427D-89CA-7C9BDB7DD473}" xr6:coauthVersionLast="47" xr6:coauthVersionMax="47" xr10:uidLastSave="{00000000-0000-0000-0000-000000000000}"/>
  <workbookProtection workbookAlgorithmName="SHA-512" workbookHashValue="O+paRzKeJIPrCLwm9hyyky/6MEoumJib99ShbUk+wI/RpXbkoKMmSPHxEgR00CTzE6jgH9/lvaC8CXyjNX8Ogg==" workbookSaltValue="ABwORRY1QWZJlvOuPDsZ/g==" workbookSpinCount="100000" lockStructure="1"/>
  <bookViews>
    <workbookView xWindow="-110" yWindow="-110" windowWidth="19420" windowHeight="10420" xr2:uid="{C7EC8164-5AAB-41DF-815F-FCD903524566}"/>
  </bookViews>
  <sheets>
    <sheet name="SUMMARY" sheetId="12" r:id="rId1"/>
    <sheet name="Regular" sheetId="1" r:id="rId2"/>
    <sheet name="Reliever" sheetId="15" r:id="rId3"/>
    <sheet name="Liaison" sheetId="16" r:id="rId4"/>
  </sheets>
  <externalReferences>
    <externalReference r:id="rId5"/>
    <externalReference r:id="rId6"/>
    <externalReference r:id="rId7"/>
  </externalReferences>
  <definedNames>
    <definedName name="Excel_BuiltIn_Print_Area_2" localSheetId="2">#REF!</definedName>
    <definedName name="Excel_BuiltIn_Print_Area_2">#REF!</definedName>
    <definedName name="_xlnm.Print_Area" localSheetId="2">Reliever!$A$1:$K$54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2" l="1"/>
  <c r="I30" i="16"/>
  <c r="I32" i="16" s="1"/>
  <c r="G9" i="12"/>
  <c r="G8" i="12"/>
  <c r="I7" i="16"/>
  <c r="C12" i="16"/>
  <c r="D12" i="16" s="1"/>
  <c r="D15" i="16" s="1"/>
  <c r="I9" i="16" s="1"/>
  <c r="C9" i="16"/>
  <c r="C15" i="16" s="1"/>
  <c r="I10" i="16" l="1"/>
  <c r="I11" i="16" s="1"/>
  <c r="I12" i="16" s="1"/>
  <c r="E17" i="16"/>
  <c r="E15" i="16"/>
  <c r="E22" i="16" l="1"/>
  <c r="I27" i="15"/>
  <c r="I26" i="15"/>
  <c r="I24" i="15"/>
  <c r="I23" i="15"/>
  <c r="I22" i="15"/>
  <c r="I18" i="15"/>
  <c r="I16" i="15"/>
  <c r="I15" i="15"/>
  <c r="I13" i="15"/>
  <c r="I25" i="15" s="1"/>
  <c r="E24" i="16" l="1"/>
  <c r="E30" i="16" s="1"/>
  <c r="E32" i="16" s="1"/>
  <c r="I10" i="12" s="1"/>
  <c r="I28" i="15"/>
  <c r="I19" i="15"/>
  <c r="I14" i="15"/>
  <c r="I31" i="15" l="1"/>
  <c r="I36" i="15" l="1"/>
  <c r="I38" i="15" s="1"/>
  <c r="I45" i="15" s="1"/>
  <c r="I47" i="15" l="1"/>
  <c r="I9" i="12" s="1"/>
  <c r="I14" i="1" l="1"/>
  <c r="I26" i="1" l="1"/>
  <c r="I17" i="1"/>
  <c r="J19" i="1"/>
  <c r="I19" i="1"/>
  <c r="J28" i="1"/>
  <c r="I28" i="1"/>
  <c r="J27" i="1"/>
  <c r="I27" i="1"/>
  <c r="J25" i="1"/>
  <c r="I25" i="1"/>
  <c r="J24" i="1"/>
  <c r="I24" i="1"/>
  <c r="J23" i="1"/>
  <c r="I23" i="1"/>
  <c r="J17" i="1"/>
  <c r="J16" i="1"/>
  <c r="I16" i="1"/>
  <c r="J14" i="1"/>
  <c r="J15" i="1" s="1"/>
  <c r="I29" i="1" l="1"/>
  <c r="J29" i="1"/>
  <c r="J20" i="1"/>
  <c r="J26" i="1"/>
  <c r="I20" i="1"/>
  <c r="I32" i="1" l="1"/>
  <c r="J32" i="1"/>
  <c r="J37" i="1" l="1"/>
  <c r="J39" i="1" s="1"/>
  <c r="J46" i="1" s="1"/>
  <c r="J48" i="1" s="1"/>
  <c r="I37" i="1"/>
  <c r="I39" i="1" s="1"/>
  <c r="I46" i="1" s="1"/>
  <c r="I48" i="1" s="1"/>
  <c r="I8" i="12" l="1"/>
  <c r="I11" i="12" s="1"/>
</calcChain>
</file>

<file path=xl/sharedStrings.xml><?xml version="1.0" encoding="utf-8"?>
<sst xmlns="http://schemas.openxmlformats.org/spreadsheetml/2006/main" count="123" uniqueCount="68">
  <si>
    <t>TOTAL COST FOR FOUR (4) MONTHS</t>
  </si>
  <si>
    <t>REVISED COST DISTRIBUTION PER MONTH-NCR RATE</t>
  </si>
  <si>
    <t>Wage Order No. NCR-23</t>
  </si>
  <si>
    <t>Effective June 04, 2022</t>
  </si>
  <si>
    <t>No. of guards</t>
  </si>
  <si>
    <t>Amount</t>
  </si>
  <si>
    <t xml:space="preserve">   Regular Guards</t>
  </si>
  <si>
    <t xml:space="preserve">   Reliever Guard</t>
  </si>
  <si>
    <t xml:space="preserve">   Liaison Officer</t>
  </si>
  <si>
    <t>TOTAL COST FOR FOUR (4) MONTHS (AMOUNT IN WORDS)</t>
  </si>
  <si>
    <t>Signature Over Printed Name of Authorized Signatory</t>
  </si>
  <si>
    <t>Regular Guards</t>
  </si>
  <si>
    <t>Days per work week</t>
  </si>
  <si>
    <t>6 days</t>
  </si>
  <si>
    <t>No. of days/year</t>
  </si>
  <si>
    <t>12 hours work/day</t>
  </si>
  <si>
    <t>Day Shift</t>
  </si>
  <si>
    <t>Night Shift</t>
  </si>
  <si>
    <t>Amount Directly to Guard</t>
  </si>
  <si>
    <t>Daily Wage (DW)</t>
  </si>
  <si>
    <r>
      <t xml:space="preserve">Ave. Pay/Month </t>
    </r>
    <r>
      <rPr>
        <i/>
        <sz val="10"/>
        <color theme="1"/>
        <rFont val="Calibri"/>
        <family val="2"/>
        <scheme val="minor"/>
      </rPr>
      <t>(DW x No. of Days per yr/12)</t>
    </r>
  </si>
  <si>
    <t>P</t>
  </si>
  <si>
    <r>
      <t xml:space="preserve">Night Differential  </t>
    </r>
    <r>
      <rPr>
        <i/>
        <sz val="10"/>
        <color theme="1"/>
        <rFont val="Calibri"/>
        <family val="2"/>
        <scheme val="minor"/>
      </rPr>
      <t>(Ave. Pay/mo. X 10% x 1/3)</t>
    </r>
  </si>
  <si>
    <r>
      <t xml:space="preserve">13 Month Pay  </t>
    </r>
    <r>
      <rPr>
        <i/>
        <sz val="10"/>
        <color theme="1"/>
        <rFont val="Calibri"/>
        <family val="2"/>
        <scheme val="minor"/>
      </rPr>
      <t>(DW X 365 /12 /12 )</t>
    </r>
  </si>
  <si>
    <r>
      <t xml:space="preserve">5 Days Incentive Pay  </t>
    </r>
    <r>
      <rPr>
        <i/>
        <sz val="10"/>
        <color theme="1"/>
        <rFont val="Calibri"/>
        <family val="2"/>
        <scheme val="minor"/>
      </rPr>
      <t>(DW x 5 / 12)</t>
    </r>
  </si>
  <si>
    <r>
      <t xml:space="preserve">Uniform Allowance </t>
    </r>
    <r>
      <rPr>
        <i/>
        <sz val="10"/>
        <color theme="1"/>
        <rFont val="Calibri"/>
        <family val="2"/>
        <scheme val="minor"/>
      </rPr>
      <t>(R.A. 5487)</t>
    </r>
  </si>
  <si>
    <t xml:space="preserve">Overtime Pay </t>
  </si>
  <si>
    <t>Amount to Government in Favor of Guards</t>
  </si>
  <si>
    <t>Retirement Benefit (RA 7641) (DW x 22.5 / 12)</t>
  </si>
  <si>
    <t>SSS Premium (January 2021)</t>
  </si>
  <si>
    <t>SSS Mandatory Providend Fund</t>
  </si>
  <si>
    <t xml:space="preserve"> </t>
  </si>
  <si>
    <t xml:space="preserve">Philhealth Contribution 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</si>
  <si>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</si>
  <si>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</si>
  <si>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</si>
  <si>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</si>
  <si>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0"/>
        <color theme="1"/>
        <rFont val="Calibri"/>
        <family val="2"/>
        <scheme val="minor"/>
      </rPr>
      <t xml:space="preserve"> (Min. 20%, Max 24%</t>
    </r>
    <r>
      <rPr>
        <sz val="10"/>
        <color theme="1"/>
        <rFont val="Calibri"/>
        <family val="2"/>
        <scheme val="minor"/>
      </rPr>
      <t>)</t>
    </r>
  </si>
  <si>
    <r>
      <t xml:space="preserve">C. VALUE ADDED TAX </t>
    </r>
    <r>
      <rPr>
        <sz val="10"/>
        <color theme="1"/>
        <rFont val="Calibri"/>
        <family val="2"/>
        <scheme val="minor"/>
      </rPr>
      <t>(Agency fee x 12% VAT)</t>
    </r>
  </si>
  <si>
    <t>AVERAGE RATE (Per guard, Per Month)</t>
  </si>
  <si>
    <t>No. of Guards assigned in NCR (12 hrs/day)</t>
  </si>
  <si>
    <t>Average Cost Per Month</t>
  </si>
  <si>
    <t>Flat Monthly Rate (Net Amount per Contract: P35,000.00)</t>
  </si>
  <si>
    <t>Estimated monthly wage</t>
  </si>
  <si>
    <t>GROSS PAY</t>
  </si>
  <si>
    <t>ER Share</t>
  </si>
  <si>
    <t>EE Share</t>
  </si>
  <si>
    <t>Less:</t>
  </si>
  <si>
    <r>
      <t xml:space="preserve">Retirement Benefit (RA 7641) </t>
    </r>
    <r>
      <rPr>
        <i/>
        <sz val="11"/>
        <rFont val="Calibri (Body)"/>
      </rPr>
      <t>(570*22.5</t>
    </r>
    <r>
      <rPr>
        <sz val="11"/>
        <rFont val="Calibri"/>
        <family val="2"/>
        <scheme val="minor"/>
      </rPr>
      <t>/12)</t>
    </r>
  </si>
  <si>
    <t xml:space="preserve">         Statutory deductions (SSS,PHIC,Pag-Ibig)</t>
  </si>
  <si>
    <t xml:space="preserve">SSS Premium </t>
  </si>
  <si>
    <t xml:space="preserve">Net Amount before  tax </t>
  </si>
  <si>
    <t>SSS Mandatory Provident Fund</t>
  </si>
  <si>
    <t>Less:  Withholding Tax</t>
  </si>
  <si>
    <t>Estimated Net pay after tax</t>
  </si>
  <si>
    <r>
      <t>Administrative Overhead and Margin</t>
    </r>
    <r>
      <rPr>
        <i/>
        <sz val="11"/>
        <rFont val="Calibri"/>
        <family val="2"/>
        <scheme val="minor"/>
      </rPr>
      <t xml:space="preserve"> (Min. 20%, Max 24%</t>
    </r>
    <r>
      <rPr>
        <sz val="11"/>
        <rFont val="Calibri"/>
        <family val="2"/>
        <scheme val="minor"/>
      </rPr>
      <t>)</t>
    </r>
  </si>
  <si>
    <r>
      <t xml:space="preserve">C. VALUE ADDED TAX </t>
    </r>
    <r>
      <rPr>
        <i/>
        <sz val="11"/>
        <rFont val="Calibri (Body)"/>
      </rPr>
      <t>(Agency fee x 12% VAT)</t>
    </r>
  </si>
  <si>
    <t xml:space="preserve">No. of Liaison Officer Assigned </t>
  </si>
  <si>
    <t>Amount Due Directly to SLMO (Gross Pay)</t>
  </si>
  <si>
    <t>Site Liaison and Monitoring Officer</t>
  </si>
  <si>
    <t>Amount Due to Government in favor of SLMO</t>
  </si>
  <si>
    <t>A. Total Amount Due to SLMO &amp; Government</t>
  </si>
  <si>
    <t>TOTAL COST FOR FOUR (4) MONTHS of Guards  assigned in PMO Property in Port Area, City of Manila</t>
  </si>
  <si>
    <t>TOTAL COST FOR 4 MONTHS -  Guards assigned in PMO Property in Port Area</t>
  </si>
  <si>
    <t>Total for 4 months - Guards assigned in PMO Property in Port Area</t>
  </si>
  <si>
    <t>AVERAGE RATE (1 SMLO, Per Month)</t>
  </si>
  <si>
    <t>TOTAL COST FOR 4 MONTHS -  SLMO assigned in PMO Property in Port Area</t>
  </si>
  <si>
    <t>Total for 4 months - SLMO assigned in PMO Property in Port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</si>
</sst>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 (Body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Font="1"/>
    <xf numFmtId="0" fontId="0" fillId="0" borderId="0" xfId="1" applyNumberFormat="1" applyFont="1" applyAlignment="1">
      <alignment horizontal="center"/>
    </xf>
    <xf numFmtId="164" fontId="0" fillId="0" borderId="3" xfId="1" applyFont="1" applyBorder="1"/>
    <xf numFmtId="0" fontId="2" fillId="0" borderId="1" xfId="0" applyFont="1" applyBorder="1"/>
    <xf numFmtId="0" fontId="0" fillId="0" borderId="1" xfId="0" applyBorder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0" fillId="0" borderId="0" xfId="2" applyFont="1" applyProtection="1"/>
    <xf numFmtId="164" fontId="2" fillId="0" borderId="0" xfId="2" applyFont="1" applyProtection="1"/>
    <xf numFmtId="164" fontId="5" fillId="0" borderId="0" xfId="2" applyFont="1" applyProtection="1"/>
    <xf numFmtId="164" fontId="0" fillId="0" borderId="2" xfId="0" applyNumberFormat="1" applyBorder="1"/>
    <xf numFmtId="164" fontId="8" fillId="0" borderId="0" xfId="0" applyNumberFormat="1" applyFont="1" applyAlignment="1">
      <alignment vertical="center" wrapText="1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43" fontId="6" fillId="0" borderId="0" xfId="0" applyNumberFormat="1" applyFont="1" applyProtection="1">
      <protection locked="0"/>
    </xf>
    <xf numFmtId="43" fontId="10" fillId="0" borderId="0" xfId="0" applyNumberFormat="1" applyFont="1" applyProtection="1">
      <protection locked="0"/>
    </xf>
    <xf numFmtId="0" fontId="9" fillId="0" borderId="0" xfId="0" applyFont="1"/>
    <xf numFmtId="164" fontId="9" fillId="0" borderId="0" xfId="1" applyFont="1" applyFill="1" applyProtection="1"/>
    <xf numFmtId="164" fontId="10" fillId="0" borderId="0" xfId="1" applyFont="1" applyFill="1" applyProtection="1"/>
    <xf numFmtId="164" fontId="6" fillId="0" borderId="0" xfId="0" applyNumberFormat="1" applyFont="1"/>
    <xf numFmtId="164" fontId="6" fillId="0" borderId="0" xfId="1" applyFont="1" applyFill="1" applyProtection="1"/>
    <xf numFmtId="0" fontId="10" fillId="0" borderId="0" xfId="0" applyFont="1"/>
    <xf numFmtId="164" fontId="6" fillId="0" borderId="1" xfId="0" applyNumberFormat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43" fontId="6" fillId="0" borderId="0" xfId="0" applyNumberFormat="1" applyFont="1" applyAlignment="1">
      <alignment vertical="center"/>
    </xf>
    <xf numFmtId="164" fontId="6" fillId="0" borderId="0" xfId="1" applyFont="1" applyFill="1" applyAlignment="1" applyProtection="1">
      <alignment horizontal="center"/>
    </xf>
    <xf numFmtId="164" fontId="6" fillId="0" borderId="1" xfId="1" applyFont="1" applyFill="1" applyBorder="1" applyProtection="1"/>
    <xf numFmtId="43" fontId="9" fillId="0" borderId="3" xfId="0" applyNumberFormat="1" applyFont="1" applyBorder="1"/>
    <xf numFmtId="164" fontId="6" fillId="0" borderId="1" xfId="1" applyFont="1" applyFill="1" applyBorder="1" applyAlignment="1" applyProtection="1">
      <alignment horizontal="center"/>
    </xf>
    <xf numFmtId="164" fontId="9" fillId="0" borderId="0" xfId="0" applyNumberFormat="1" applyFont="1"/>
    <xf numFmtId="164" fontId="10" fillId="0" borderId="1" xfId="0" applyNumberFormat="1" applyFont="1" applyBorder="1"/>
    <xf numFmtId="43" fontId="6" fillId="0" borderId="0" xfId="0" applyNumberFormat="1" applyFont="1"/>
    <xf numFmtId="43" fontId="10" fillId="0" borderId="0" xfId="0" applyNumberFormat="1" applyFont="1"/>
    <xf numFmtId="43" fontId="9" fillId="0" borderId="0" xfId="0" applyNumberFormat="1" applyFont="1"/>
    <xf numFmtId="43" fontId="10" fillId="0" borderId="1" xfId="0" applyNumberFormat="1" applyFont="1" applyBorder="1"/>
    <xf numFmtId="164" fontId="9" fillId="0" borderId="2" xfId="0" applyNumberFormat="1" applyFont="1" applyBorder="1"/>
    <xf numFmtId="43" fontId="0" fillId="0" borderId="2" xfId="0" applyNumberFormat="1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</cellXfs>
  <cellStyles count="3">
    <cellStyle name="Comma" xfId="1" builtinId="3"/>
    <cellStyle name="Comma 2" xfId="2" xr:uid="{1068F855-FD79-466D-93EA-5A7ABEB8250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y%20of%20Financial%20Computation%20-%20Repacom%20(Updated)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f-my.sharepoint.com/Revised%20Computation%20for%20Security%20Services%202022%20Corrected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ovaldeabella/Downloads/Rev%20Copy%20of%20Financial%20Computation%20-%20Repac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acom313"/>
      <sheetName val="OT Comp_313.80"/>
      <sheetName val="OT Comp_313.80 FMD"/>
    </sheetNames>
    <sheetDataSet>
      <sheetData sheetId="0"/>
      <sheetData sheetId="1"/>
      <sheetData sheetId="2">
        <row r="15">
          <cell r="D15">
            <v>9684.0625</v>
          </cell>
        </row>
        <row r="32">
          <cell r="D32">
            <v>10652.46875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3.80"/>
      <sheetName val="Revised Summary"/>
    </sheetNames>
    <sheetDataSet>
      <sheetData sheetId="0" refreshError="1">
        <row r="15">
          <cell r="F15">
            <v>537</v>
          </cell>
        </row>
        <row r="28">
          <cell r="I28">
            <v>1700</v>
          </cell>
          <cell r="J28">
            <v>1700</v>
          </cell>
        </row>
        <row r="29">
          <cell r="I29">
            <v>425</v>
          </cell>
          <cell r="J29">
            <v>425</v>
          </cell>
        </row>
        <row r="31">
          <cell r="I31">
            <v>30</v>
          </cell>
          <cell r="J31">
            <v>30</v>
          </cell>
        </row>
        <row r="32">
          <cell r="I32">
            <v>100</v>
          </cell>
          <cell r="J32">
            <v>100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r"/>
      <sheetName val="Reliever"/>
      <sheetName val="Liaison_v1"/>
      <sheetName val="Liaison_v2"/>
      <sheetName val="OT Comp_313.80"/>
      <sheetName val="OT Comp_313.80 FMD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10652.46875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EA1B-5784-426E-8B2D-2595EDF09046}">
  <dimension ref="A1:J33"/>
  <sheetViews>
    <sheetView tabSelected="1" workbookViewId="0">
      <selection activeCell="A8" sqref="A8:E8"/>
    </sheetView>
  </sheetViews>
  <sheetFormatPr defaultRowHeight="14.5"/>
  <cols>
    <col min="5" max="5" width="11.54296875" customWidth="1"/>
    <col min="6" max="6" width="15.7265625" customWidth="1"/>
    <col min="7" max="7" width="12" bestFit="1" customWidth="1"/>
    <col min="9" max="10" width="15.26953125" bestFit="1" customWidth="1"/>
  </cols>
  <sheetData>
    <row r="1" spans="1:10">
      <c r="A1" t="s">
        <v>0</v>
      </c>
    </row>
    <row r="2" spans="1:10">
      <c r="A2" t="s">
        <v>1</v>
      </c>
    </row>
    <row r="3" spans="1:10">
      <c r="A3" t="s">
        <v>2</v>
      </c>
    </row>
    <row r="4" spans="1:10">
      <c r="A4" t="s">
        <v>3</v>
      </c>
    </row>
    <row r="6" spans="1:10">
      <c r="G6" t="s">
        <v>4</v>
      </c>
      <c r="I6" s="7" t="s">
        <v>5</v>
      </c>
      <c r="J6" s="7"/>
    </row>
    <row r="7" spans="1:10" ht="28.15" customHeight="1">
      <c r="A7" s="52" t="s">
        <v>62</v>
      </c>
      <c r="B7" s="52"/>
      <c r="C7" s="52"/>
      <c r="D7" s="52"/>
      <c r="E7" s="52"/>
      <c r="H7" s="9"/>
      <c r="J7" s="7"/>
    </row>
    <row r="8" spans="1:10">
      <c r="A8" s="52" t="s">
        <v>6</v>
      </c>
      <c r="B8" s="52"/>
      <c r="C8" s="52"/>
      <c r="D8" s="52"/>
      <c r="E8" s="52"/>
      <c r="G8" s="6">
        <f>+Regular!I44+Regular!J44</f>
        <v>6</v>
      </c>
      <c r="H8" s="9"/>
      <c r="I8" s="10">
        <f>+Regular!I48+Regular!J48</f>
        <v>739460.23499999999</v>
      </c>
      <c r="J8" s="7"/>
    </row>
    <row r="9" spans="1:10">
      <c r="A9" s="52" t="s">
        <v>7</v>
      </c>
      <c r="B9" s="52"/>
      <c r="C9" s="52"/>
      <c r="D9" s="52"/>
      <c r="E9" s="52"/>
      <c r="G9" s="6">
        <f>+Reliever!I43</f>
        <v>1</v>
      </c>
      <c r="H9" s="6"/>
      <c r="I9" s="10">
        <f>+Reliever!I47</f>
        <v>126666.935</v>
      </c>
      <c r="J9" s="7"/>
    </row>
    <row r="10" spans="1:10">
      <c r="A10" s="52" t="s">
        <v>8</v>
      </c>
      <c r="B10" s="52"/>
      <c r="C10" s="52"/>
      <c r="D10" s="52"/>
      <c r="E10" s="52"/>
      <c r="G10" s="6">
        <f>+Liaison!E28</f>
        <v>1</v>
      </c>
      <c r="I10" s="10">
        <f>+Liaison!E32</f>
        <v>180575</v>
      </c>
      <c r="J10" s="7"/>
    </row>
    <row r="11" spans="1:10" ht="15" thickBot="1">
      <c r="A11" s="8"/>
      <c r="B11" s="8"/>
      <c r="C11" s="8"/>
      <c r="D11" s="8"/>
      <c r="E11" s="8"/>
      <c r="G11" s="12"/>
      <c r="H11" s="11"/>
      <c r="I11" s="13">
        <f>SUM(I8:I10)</f>
        <v>1046702.1699999999</v>
      </c>
    </row>
    <row r="12" spans="1:10" ht="15" thickTop="1">
      <c r="A12" s="2"/>
      <c r="B12" s="2"/>
      <c r="C12" s="2"/>
      <c r="I12" s="3"/>
      <c r="J12" s="3"/>
    </row>
    <row r="13" spans="1:10">
      <c r="B13" s="2"/>
      <c r="C13" s="2"/>
      <c r="I13" s="3"/>
      <c r="J13" s="3"/>
    </row>
    <row r="14" spans="1:10">
      <c r="A14" s="2"/>
      <c r="B14" s="2"/>
      <c r="C14" s="2"/>
      <c r="I14" s="3"/>
      <c r="J14" s="3"/>
    </row>
    <row r="15" spans="1:10">
      <c r="A15" s="2"/>
      <c r="B15" s="2"/>
      <c r="C15" s="2"/>
      <c r="I15" s="3"/>
      <c r="J15" s="3"/>
    </row>
    <row r="16" spans="1:10">
      <c r="A16" s="2" t="s">
        <v>9</v>
      </c>
      <c r="B16" s="2"/>
      <c r="C16" s="2"/>
      <c r="I16" s="3"/>
      <c r="J16" s="3"/>
    </row>
    <row r="17" spans="1:10">
      <c r="A17" s="2"/>
      <c r="B17" s="2"/>
      <c r="C17" s="2"/>
      <c r="I17" s="3"/>
      <c r="J17" s="3"/>
    </row>
    <row r="18" spans="1:10">
      <c r="A18" s="14"/>
      <c r="B18" s="14"/>
      <c r="C18" s="14"/>
      <c r="D18" s="15"/>
      <c r="E18" s="15"/>
      <c r="F18" s="15"/>
      <c r="G18" s="15"/>
      <c r="H18" s="15"/>
      <c r="I18" s="4"/>
      <c r="J18" s="3"/>
    </row>
    <row r="19" spans="1:10">
      <c r="A19" s="2"/>
      <c r="B19" s="2"/>
      <c r="C19" s="2"/>
    </row>
    <row r="20" spans="1:10">
      <c r="A20" s="2"/>
      <c r="B20" s="2"/>
      <c r="C20" s="2"/>
    </row>
    <row r="21" spans="1:10">
      <c r="A21" s="1"/>
      <c r="B21" s="2"/>
      <c r="C21" s="2"/>
      <c r="D21" s="15"/>
      <c r="E21" s="15"/>
      <c r="F21" s="15"/>
      <c r="G21" s="15"/>
      <c r="I21" s="3"/>
      <c r="J21" s="3"/>
    </row>
    <row r="22" spans="1:10">
      <c r="A22" s="2"/>
      <c r="B22" s="2"/>
      <c r="C22" s="2"/>
      <c r="D22" t="s">
        <v>10</v>
      </c>
    </row>
    <row r="23" spans="1:10">
      <c r="A23" s="1"/>
      <c r="B23" s="2"/>
      <c r="C23" s="2"/>
      <c r="I23" s="3"/>
    </row>
    <row r="24" spans="1:10">
      <c r="A24" s="2"/>
      <c r="B24" s="2"/>
      <c r="C24" s="2"/>
      <c r="I24" s="3"/>
      <c r="J24" s="3"/>
    </row>
    <row r="25" spans="1:10">
      <c r="A25" s="2"/>
      <c r="B25" s="2"/>
      <c r="C25" s="2"/>
      <c r="J25" s="3"/>
    </row>
    <row r="26" spans="1:10">
      <c r="A26" s="1"/>
      <c r="B26" s="2"/>
      <c r="C26" s="2"/>
      <c r="I26" s="3"/>
      <c r="J26" s="3"/>
    </row>
    <row r="27" spans="1:10">
      <c r="A27" s="2"/>
      <c r="B27" s="2"/>
      <c r="C27" s="2"/>
      <c r="I27" s="3"/>
      <c r="J27" s="3"/>
    </row>
    <row r="28" spans="1:10">
      <c r="A28" s="1"/>
      <c r="B28" s="2"/>
      <c r="C28" s="2"/>
      <c r="I28" s="3"/>
      <c r="J28" s="3"/>
    </row>
    <row r="31" spans="1:10">
      <c r="A31" s="5"/>
    </row>
    <row r="33" spans="9:10">
      <c r="I33" s="6"/>
      <c r="J33" s="6"/>
    </row>
  </sheetData>
  <sheetProtection algorithmName="SHA-512" hashValue="xpSOjR/gYhRteYr/qmKfVYTTfxZBV3vJdYjjW5jnvFHybFtHqdlVdv0wiEdxRUiw3rwps0D4MR3tEqDbO7vDpg==" saltValue="vQ1Az7r6ShHzRjKSyv9I5g==" spinCount="100000" sheet="1" objects="1" scenarios="1"/>
  <mergeCells count="4">
    <mergeCell ref="A7:E7"/>
    <mergeCell ref="A9:E9"/>
    <mergeCell ref="A8:E8"/>
    <mergeCell ref="A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F896-78CB-42F6-9803-D924B527E1F7}">
  <sheetPr codeName="Sheet1"/>
  <dimension ref="A1:T49"/>
  <sheetViews>
    <sheetView workbookViewId="0">
      <selection activeCell="G57" sqref="G56:G57"/>
    </sheetView>
  </sheetViews>
  <sheetFormatPr defaultRowHeight="14.5"/>
  <cols>
    <col min="8" max="8" width="2" bestFit="1" customWidth="1"/>
    <col min="9" max="10" width="15.81640625" bestFit="1" customWidth="1"/>
  </cols>
  <sheetData>
    <row r="1" spans="1:20">
      <c r="A1" t="s">
        <v>1</v>
      </c>
    </row>
    <row r="2" spans="1:20">
      <c r="A2" t="s">
        <v>2</v>
      </c>
      <c r="L2" s="16"/>
      <c r="M2" s="16"/>
      <c r="N2" s="16"/>
      <c r="O2" s="16"/>
      <c r="P2" s="16"/>
      <c r="Q2" s="16"/>
      <c r="R2" s="16"/>
      <c r="S2" s="16"/>
      <c r="T2" s="16"/>
    </row>
    <row r="3" spans="1:20">
      <c r="A3" t="s">
        <v>3</v>
      </c>
      <c r="L3" s="16"/>
      <c r="M3" s="16"/>
      <c r="N3" s="16"/>
      <c r="O3" s="16"/>
      <c r="P3" s="16"/>
      <c r="Q3" s="16"/>
      <c r="R3" s="16"/>
      <c r="S3" s="16"/>
      <c r="T3" s="16"/>
    </row>
    <row r="4" spans="1:20">
      <c r="L4" s="16"/>
      <c r="M4" s="16"/>
      <c r="N4" s="16"/>
      <c r="O4" s="16"/>
      <c r="P4" s="16"/>
      <c r="Q4" s="16"/>
      <c r="R4" s="16"/>
      <c r="S4" s="16"/>
      <c r="T4" s="16"/>
    </row>
    <row r="5" spans="1:20">
      <c r="I5" s="53" t="s">
        <v>11</v>
      </c>
      <c r="J5" s="53"/>
      <c r="L5" s="16"/>
      <c r="M5" s="16"/>
      <c r="N5" s="16"/>
      <c r="O5" s="16"/>
      <c r="P5" s="16"/>
      <c r="Q5" s="16"/>
      <c r="R5" s="16"/>
      <c r="S5" s="16"/>
      <c r="T5" s="16"/>
    </row>
    <row r="6" spans="1:20"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t="s">
        <v>12</v>
      </c>
      <c r="I7" s="7" t="s">
        <v>13</v>
      </c>
      <c r="J7" s="7" t="s">
        <v>13</v>
      </c>
      <c r="L7" s="16"/>
      <c r="M7" s="16"/>
      <c r="N7" s="16"/>
      <c r="O7" s="16"/>
      <c r="P7" s="16"/>
      <c r="Q7" s="16"/>
      <c r="R7" s="16"/>
      <c r="S7" s="16"/>
      <c r="T7" s="16"/>
    </row>
    <row r="8" spans="1:20">
      <c r="A8" t="s">
        <v>14</v>
      </c>
      <c r="I8" s="7">
        <v>313</v>
      </c>
      <c r="J8" s="7">
        <v>313</v>
      </c>
      <c r="L8" s="16"/>
      <c r="M8" s="16"/>
      <c r="N8" s="16"/>
      <c r="O8" s="16"/>
      <c r="P8" s="16"/>
      <c r="Q8" s="16"/>
      <c r="R8" s="16"/>
      <c r="S8" s="16"/>
      <c r="T8" s="16"/>
    </row>
    <row r="9" spans="1:20">
      <c r="I9" s="7" t="s">
        <v>15</v>
      </c>
      <c r="J9" s="7" t="s">
        <v>15</v>
      </c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I10" s="7" t="s">
        <v>16</v>
      </c>
      <c r="J10" s="7" t="s">
        <v>17</v>
      </c>
      <c r="L10" s="16"/>
      <c r="M10" s="16"/>
      <c r="N10" s="16"/>
      <c r="O10" s="16"/>
      <c r="P10" s="16"/>
      <c r="Q10" s="16"/>
      <c r="R10" s="16"/>
      <c r="S10" s="16"/>
      <c r="T10" s="16"/>
    </row>
    <row r="11" spans="1:20">
      <c r="A11" s="1" t="s">
        <v>18</v>
      </c>
      <c r="B11" s="2"/>
      <c r="C11" s="2"/>
      <c r="L11" s="16"/>
      <c r="M11" s="16"/>
      <c r="N11" s="16"/>
      <c r="O11" s="16"/>
      <c r="P11" s="16"/>
      <c r="Q11" s="16"/>
      <c r="R11" s="16"/>
      <c r="S11" s="16"/>
      <c r="T11" s="16"/>
    </row>
    <row r="12" spans="1:20">
      <c r="A12" s="2"/>
      <c r="B12" s="2" t="s">
        <v>19</v>
      </c>
      <c r="C12" s="2"/>
      <c r="I12" s="3">
        <v>570</v>
      </c>
      <c r="J12" s="3">
        <v>570</v>
      </c>
      <c r="L12" s="16"/>
      <c r="M12" s="16"/>
      <c r="N12" s="16"/>
      <c r="O12" s="16"/>
      <c r="P12" s="16"/>
      <c r="Q12" s="16"/>
      <c r="R12" s="16"/>
      <c r="S12" s="16"/>
      <c r="T12" s="16"/>
    </row>
    <row r="13" spans="1:20">
      <c r="A13" s="2"/>
      <c r="B13" s="2"/>
      <c r="C13" s="2"/>
      <c r="L13" s="16"/>
      <c r="M13" s="16"/>
      <c r="N13" s="16"/>
      <c r="O13" s="16"/>
      <c r="P13" s="16"/>
      <c r="Q13" s="16"/>
      <c r="R13" s="16"/>
      <c r="S13" s="16"/>
      <c r="T13" s="16"/>
    </row>
    <row r="14" spans="1:20">
      <c r="A14" s="2"/>
      <c r="B14" s="2" t="s">
        <v>20</v>
      </c>
      <c r="C14" s="2"/>
      <c r="H14" t="s">
        <v>21</v>
      </c>
      <c r="I14" s="20">
        <f>ROUND((I12*I8/12),2)</f>
        <v>14867.5</v>
      </c>
      <c r="J14" s="20">
        <f>ROUND((J12*J8/12),2)</f>
        <v>14867.5</v>
      </c>
      <c r="L14" s="16"/>
      <c r="M14" s="16"/>
      <c r="N14" s="16"/>
      <c r="O14" s="16"/>
      <c r="P14" s="16"/>
      <c r="Q14" s="16"/>
      <c r="R14" s="16"/>
      <c r="S14" s="16"/>
      <c r="T14" s="16"/>
    </row>
    <row r="15" spans="1:20">
      <c r="A15" s="2"/>
      <c r="B15" s="2" t="s">
        <v>22</v>
      </c>
      <c r="C15" s="2"/>
      <c r="I15" s="21">
        <v>0</v>
      </c>
      <c r="J15" s="22">
        <f>J14*0.1*1/2</f>
        <v>743.375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1:20">
      <c r="A16" s="2"/>
      <c r="B16" s="2" t="s">
        <v>23</v>
      </c>
      <c r="C16" s="2"/>
      <c r="I16" s="20">
        <f>ROUND((I12*365/12/12),2)</f>
        <v>1444.79</v>
      </c>
      <c r="J16" s="22">
        <f>ROUND((J12*365/12/12),2)</f>
        <v>1444.79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1:20">
      <c r="A17" s="2"/>
      <c r="B17" s="2" t="s">
        <v>24</v>
      </c>
      <c r="C17" s="2"/>
      <c r="I17" s="20">
        <f>I12*5/12</f>
        <v>237.5</v>
      </c>
      <c r="J17" s="20">
        <f>J12*5/12</f>
        <v>237.5</v>
      </c>
      <c r="L17" s="16"/>
      <c r="M17" s="16"/>
      <c r="N17" s="16"/>
      <c r="O17" s="16"/>
      <c r="P17" s="16"/>
      <c r="Q17" s="16"/>
      <c r="R17" s="16"/>
      <c r="S17" s="16"/>
      <c r="T17" s="16"/>
    </row>
    <row r="18" spans="1:20">
      <c r="A18" s="2"/>
      <c r="B18" s="2" t="s">
        <v>25</v>
      </c>
      <c r="C18" s="2"/>
      <c r="I18" s="3">
        <v>100</v>
      </c>
      <c r="J18" s="20">
        <v>100</v>
      </c>
      <c r="L18" s="16"/>
      <c r="M18" s="16"/>
      <c r="N18" s="16"/>
      <c r="O18" s="16"/>
      <c r="P18" s="16"/>
      <c r="Q18" s="16"/>
      <c r="R18" s="16"/>
      <c r="S18" s="16"/>
      <c r="T18" s="16"/>
    </row>
    <row r="19" spans="1:20">
      <c r="A19" s="2"/>
      <c r="B19" s="2" t="s">
        <v>26</v>
      </c>
      <c r="C19" s="2"/>
      <c r="I19" s="4">
        <f>+'[1]OT Comp_313.80 FMD'!$D$15</f>
        <v>9684.0625</v>
      </c>
      <c r="J19" s="4">
        <f>+'[1]OT Comp_313.80 FMD'!$D$32</f>
        <v>10652.46875</v>
      </c>
      <c r="L19" s="16"/>
      <c r="M19" s="16"/>
      <c r="N19" s="16"/>
      <c r="O19" s="16"/>
      <c r="P19" s="16"/>
      <c r="Q19" s="16"/>
      <c r="R19" s="16"/>
      <c r="S19" s="16"/>
      <c r="T19" s="16"/>
    </row>
    <row r="20" spans="1:20">
      <c r="A20" s="2"/>
      <c r="B20" s="2"/>
      <c r="C20" s="2"/>
      <c r="H20" t="s">
        <v>21</v>
      </c>
      <c r="I20" s="3">
        <f>SUM(I14:I19)</f>
        <v>26333.852500000001</v>
      </c>
      <c r="J20" s="3">
        <f>SUM(J14:J19)</f>
        <v>28045.633750000001</v>
      </c>
      <c r="L20" s="16"/>
      <c r="M20" s="16"/>
      <c r="N20" s="16"/>
      <c r="O20" s="16"/>
      <c r="P20" s="16"/>
      <c r="Q20" s="16"/>
      <c r="R20" s="16"/>
      <c r="S20" s="16"/>
      <c r="T20" s="16"/>
    </row>
    <row r="21" spans="1:20">
      <c r="A21" s="2"/>
      <c r="B21" s="2"/>
      <c r="C21" s="2"/>
      <c r="L21" s="16"/>
      <c r="M21" s="16"/>
      <c r="N21" s="16"/>
      <c r="O21" s="16"/>
      <c r="P21" s="16"/>
      <c r="Q21" s="16"/>
      <c r="R21" s="16"/>
      <c r="S21" s="16"/>
      <c r="T21" s="16"/>
    </row>
    <row r="22" spans="1:20">
      <c r="A22" s="18" t="s">
        <v>27</v>
      </c>
      <c r="B22" s="19"/>
      <c r="C22" s="19"/>
      <c r="D22" s="16"/>
      <c r="E22" s="16"/>
      <c r="F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>
      <c r="A23" s="19"/>
      <c r="B23" s="2" t="s">
        <v>28</v>
      </c>
      <c r="C23" s="2"/>
      <c r="I23" s="3">
        <f>(I12*22.5)/12</f>
        <v>1068.75</v>
      </c>
      <c r="J23" s="3">
        <f>(J12*22.5)/12</f>
        <v>1068.75</v>
      </c>
      <c r="L23" s="16"/>
      <c r="M23" s="16"/>
      <c r="N23" s="16"/>
      <c r="O23" s="16"/>
      <c r="P23" s="16"/>
      <c r="Q23" s="16"/>
      <c r="R23" s="16"/>
      <c r="S23" s="16"/>
      <c r="T23" s="16"/>
    </row>
    <row r="24" spans="1:20">
      <c r="A24" s="19"/>
      <c r="B24" s="2" t="s">
        <v>29</v>
      </c>
      <c r="C24" s="2"/>
      <c r="I24" s="3">
        <f>+'[2]393.80'!$I$28</f>
        <v>1700</v>
      </c>
      <c r="J24" s="3">
        <f>+'[2]393.80'!$J$28</f>
        <v>1700</v>
      </c>
      <c r="L24" s="16"/>
      <c r="M24" s="16"/>
      <c r="N24" s="16"/>
      <c r="O24" s="16"/>
      <c r="P24" s="16"/>
      <c r="Q24" s="16"/>
      <c r="R24" s="16"/>
      <c r="S24" s="16"/>
      <c r="T24" s="16"/>
    </row>
    <row r="25" spans="1:20">
      <c r="A25" s="19"/>
      <c r="B25" s="2" t="s">
        <v>30</v>
      </c>
      <c r="C25" s="2"/>
      <c r="I25" s="3">
        <f>+'[2]393.80'!$I$29</f>
        <v>425</v>
      </c>
      <c r="J25" s="3">
        <f>+'[2]393.80'!$J$29</f>
        <v>425</v>
      </c>
      <c r="P25" s="3" t="s">
        <v>31</v>
      </c>
      <c r="Q25" s="3"/>
    </row>
    <row r="26" spans="1:20">
      <c r="A26" s="19"/>
      <c r="B26" s="2" t="s">
        <v>32</v>
      </c>
      <c r="C26" s="2"/>
      <c r="I26" s="3">
        <f>I14*0.04/2</f>
        <v>297.35000000000002</v>
      </c>
      <c r="J26" s="3">
        <f>J14*0.04/2</f>
        <v>297.35000000000002</v>
      </c>
      <c r="P26" s="3"/>
      <c r="Q26" s="3"/>
    </row>
    <row r="27" spans="1:20">
      <c r="A27" s="19"/>
      <c r="B27" s="2" t="s">
        <v>33</v>
      </c>
      <c r="C27" s="2"/>
      <c r="I27" s="3">
        <f>+'[2]393.80'!$I$31</f>
        <v>30</v>
      </c>
      <c r="J27" s="3">
        <f>+'[2]393.80'!$J$31</f>
        <v>30</v>
      </c>
      <c r="P27" s="3"/>
      <c r="Q27" s="3"/>
    </row>
    <row r="28" spans="1:20">
      <c r="A28" s="19"/>
      <c r="B28" s="2" t="s">
        <v>34</v>
      </c>
      <c r="C28" s="2"/>
      <c r="I28" s="4">
        <f>+'[2]393.80'!$I$32</f>
        <v>100</v>
      </c>
      <c r="J28" s="4">
        <f>+'[2]393.80'!$J$32</f>
        <v>100</v>
      </c>
      <c r="P28" s="3"/>
      <c r="Q28" s="3"/>
    </row>
    <row r="29" spans="1:20">
      <c r="A29" s="2"/>
      <c r="B29" s="2"/>
      <c r="C29" s="2"/>
      <c r="H29" t="s">
        <v>21</v>
      </c>
      <c r="I29" s="3">
        <f>SUM(I23:I28)</f>
        <v>3621.1</v>
      </c>
      <c r="J29" s="3">
        <f>SUM(J23:J28)</f>
        <v>3621.1</v>
      </c>
      <c r="P29" s="3"/>
      <c r="Q29" s="3"/>
    </row>
    <row r="30" spans="1:20">
      <c r="A30" s="2"/>
      <c r="B30" s="2"/>
      <c r="C30" s="2"/>
      <c r="P30" s="3"/>
      <c r="Q30" s="3"/>
    </row>
    <row r="31" spans="1:20">
      <c r="A31" s="2"/>
      <c r="B31" s="2"/>
      <c r="C31" s="2"/>
      <c r="P31" s="3"/>
      <c r="Q31" s="3"/>
    </row>
    <row r="32" spans="1:20">
      <c r="A32" s="1" t="s">
        <v>35</v>
      </c>
      <c r="B32" s="2"/>
      <c r="C32" s="2"/>
      <c r="H32" t="s">
        <v>21</v>
      </c>
      <c r="I32" s="3">
        <f>+I20+I29</f>
        <v>29954.952499999999</v>
      </c>
      <c r="J32" s="3">
        <f>+J20+J29</f>
        <v>31666.733749999999</v>
      </c>
    </row>
    <row r="33" spans="1:10">
      <c r="A33" s="19"/>
      <c r="B33" s="19"/>
      <c r="C33" s="19"/>
      <c r="D33" s="16"/>
      <c r="E33" s="16"/>
      <c r="F33" s="16"/>
      <c r="G33" s="16"/>
      <c r="H33" s="16"/>
      <c r="I33" s="16"/>
      <c r="J33" s="16"/>
    </row>
    <row r="34" spans="1:10">
      <c r="A34" s="1" t="s">
        <v>36</v>
      </c>
      <c r="B34" s="2"/>
      <c r="C34" s="2"/>
      <c r="H34" s="16"/>
      <c r="I34" s="16"/>
      <c r="J34" s="16"/>
    </row>
    <row r="35" spans="1:10">
      <c r="A35" s="2"/>
      <c r="B35" s="2" t="s">
        <v>37</v>
      </c>
      <c r="C35" s="2"/>
      <c r="H35" s="16" t="s">
        <v>21</v>
      </c>
      <c r="I35" s="17"/>
      <c r="J35" s="17"/>
    </row>
    <row r="36" spans="1:10">
      <c r="A36" s="2"/>
      <c r="B36" s="2"/>
      <c r="C36" s="2"/>
      <c r="H36" s="16"/>
      <c r="I36" s="16"/>
      <c r="J36" s="16"/>
    </row>
    <row r="37" spans="1:10">
      <c r="A37" s="1" t="s">
        <v>38</v>
      </c>
      <c r="B37" s="2"/>
      <c r="C37" s="2"/>
      <c r="H37" t="s">
        <v>21</v>
      </c>
      <c r="I37" s="3">
        <f>I35*0.12</f>
        <v>0</v>
      </c>
      <c r="J37" s="3">
        <f>J35*0.12</f>
        <v>0</v>
      </c>
    </row>
    <row r="38" spans="1:10">
      <c r="A38" s="2"/>
      <c r="B38" s="2"/>
      <c r="C38" s="2"/>
    </row>
    <row r="39" spans="1:10" ht="15" thickBot="1">
      <c r="A39" s="1" t="s">
        <v>39</v>
      </c>
      <c r="B39" s="2"/>
      <c r="C39" s="2"/>
      <c r="H39" t="s">
        <v>21</v>
      </c>
      <c r="I39" s="23">
        <f>+I20+I29+I35+I37</f>
        <v>29954.952499999999</v>
      </c>
      <c r="J39" s="23">
        <f>+J20+J29+J35+J37</f>
        <v>31666.733749999999</v>
      </c>
    </row>
    <row r="40" spans="1:10" ht="15" thickTop="1"/>
    <row r="42" spans="1:10">
      <c r="A42" s="5" t="s">
        <v>63</v>
      </c>
    </row>
    <row r="44" spans="1:10">
      <c r="A44" t="s">
        <v>40</v>
      </c>
      <c r="I44" s="6">
        <v>3</v>
      </c>
      <c r="J44" s="6">
        <v>3</v>
      </c>
    </row>
    <row r="46" spans="1:10">
      <c r="A46" t="s">
        <v>41</v>
      </c>
      <c r="I46" s="3">
        <f>I44*I39</f>
        <v>89864.857499999998</v>
      </c>
      <c r="J46" s="3">
        <f>J44*J39</f>
        <v>95000.201249999998</v>
      </c>
    </row>
    <row r="48" spans="1:10" ht="15" thickBot="1">
      <c r="A48" t="s">
        <v>64</v>
      </c>
      <c r="I48" s="23">
        <f>I46*4</f>
        <v>359459.43</v>
      </c>
      <c r="J48" s="23">
        <f>J46*4</f>
        <v>380000.80499999999</v>
      </c>
    </row>
    <row r="49" ht="15" thickTop="1"/>
  </sheetData>
  <sheetProtection algorithmName="SHA-512" hashValue="DYGNaNKxV5eYqGnVXvfgntsDu2jBQvEt0q8RQYliNb9d6jBORIYaNv5svwhbzEKaaHiE9+77Nu7eVD8ywDSUqw==" saltValue="zUDSVxSmbR9cjT5Dba/KGA==" spinCount="100000" sheet="1" objects="1" scenarios="1"/>
  <mergeCells count="1">
    <mergeCell ref="I5:J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A71E-47AA-474D-BD21-7F04DD2D0C00}">
  <sheetPr>
    <pageSetUpPr fitToPage="1"/>
  </sheetPr>
  <dimension ref="A1:K52"/>
  <sheetViews>
    <sheetView zoomScale="115" zoomScaleNormal="115" workbookViewId="0">
      <selection activeCell="F14" sqref="F14"/>
    </sheetView>
  </sheetViews>
  <sheetFormatPr defaultRowHeight="14.5"/>
  <cols>
    <col min="8" max="8" width="2" bestFit="1" customWidth="1"/>
    <col min="9" max="9" width="18.26953125" customWidth="1"/>
    <col min="11" max="11" width="36.453125" customWidth="1"/>
  </cols>
  <sheetData>
    <row r="1" spans="1:11">
      <c r="A1" t="s">
        <v>1</v>
      </c>
    </row>
    <row r="2" spans="1:11">
      <c r="A2" t="s">
        <v>2</v>
      </c>
    </row>
    <row r="3" spans="1:11">
      <c r="A3" t="s">
        <v>3</v>
      </c>
    </row>
    <row r="4" spans="1:11">
      <c r="I4" s="9"/>
      <c r="K4" s="9"/>
    </row>
    <row r="6" spans="1:11">
      <c r="A6" t="s">
        <v>12</v>
      </c>
      <c r="I6" s="7" t="s">
        <v>13</v>
      </c>
    </row>
    <row r="7" spans="1:11">
      <c r="A7" t="s">
        <v>14</v>
      </c>
      <c r="I7" s="7">
        <v>313</v>
      </c>
    </row>
    <row r="8" spans="1:11">
      <c r="I8" s="7" t="s">
        <v>15</v>
      </c>
    </row>
    <row r="9" spans="1:11">
      <c r="I9" s="7" t="s">
        <v>17</v>
      </c>
    </row>
    <row r="10" spans="1:11">
      <c r="A10" s="1" t="s">
        <v>18</v>
      </c>
      <c r="B10" s="2"/>
      <c r="C10" s="2"/>
      <c r="K10" s="18"/>
    </row>
    <row r="11" spans="1:11">
      <c r="A11" s="2"/>
      <c r="B11" s="2" t="s">
        <v>19</v>
      </c>
      <c r="C11" s="2"/>
      <c r="I11" s="3">
        <v>570</v>
      </c>
      <c r="K11" s="19"/>
    </row>
    <row r="12" spans="1:11">
      <c r="A12" s="2"/>
      <c r="B12" s="2"/>
      <c r="C12" s="2"/>
      <c r="K12" s="19"/>
    </row>
    <row r="13" spans="1:11">
      <c r="A13" s="2"/>
      <c r="B13" s="2" t="s">
        <v>20</v>
      </c>
      <c r="C13" s="2"/>
      <c r="H13" t="s">
        <v>21</v>
      </c>
      <c r="I13" s="20">
        <f>ROUND((I11*I7/12),2)</f>
        <v>14867.5</v>
      </c>
      <c r="K13" s="19"/>
    </row>
    <row r="14" spans="1:11">
      <c r="A14" s="2"/>
      <c r="B14" s="2" t="s">
        <v>22</v>
      </c>
      <c r="C14" s="2"/>
      <c r="I14" s="22">
        <f>I13*0.1*1/2</f>
        <v>743.375</v>
      </c>
      <c r="K14" s="19"/>
    </row>
    <row r="15" spans="1:11">
      <c r="A15" s="2"/>
      <c r="B15" s="2" t="s">
        <v>23</v>
      </c>
      <c r="C15" s="2"/>
      <c r="I15" s="22">
        <f>ROUND((I11*365/12/12),2)</f>
        <v>1444.79</v>
      </c>
      <c r="K15" s="19"/>
    </row>
    <row r="16" spans="1:11">
      <c r="A16" s="2"/>
      <c r="B16" s="2" t="s">
        <v>24</v>
      </c>
      <c r="C16" s="2"/>
      <c r="I16" s="20">
        <f>I11*5/12</f>
        <v>237.5</v>
      </c>
      <c r="K16" s="19"/>
    </row>
    <row r="17" spans="1:11">
      <c r="A17" s="2"/>
      <c r="B17" s="2" t="s">
        <v>25</v>
      </c>
      <c r="C17" s="2"/>
      <c r="I17" s="20">
        <v>100</v>
      </c>
      <c r="K17" s="19"/>
    </row>
    <row r="18" spans="1:11">
      <c r="A18" s="2"/>
      <c r="B18" s="2" t="s">
        <v>26</v>
      </c>
      <c r="C18" s="2"/>
      <c r="I18" s="4">
        <f>+'[3]OT Comp_313.80 FMD'!D32</f>
        <v>10652.46875</v>
      </c>
      <c r="K18" s="19"/>
    </row>
    <row r="19" spans="1:11">
      <c r="A19" s="2"/>
      <c r="B19" s="2"/>
      <c r="C19" s="2"/>
      <c r="H19" t="s">
        <v>21</v>
      </c>
      <c r="I19" s="3">
        <f>SUM(I13:I18)</f>
        <v>28045.633750000001</v>
      </c>
    </row>
    <row r="20" spans="1:11">
      <c r="A20" s="2"/>
      <c r="B20" s="2"/>
      <c r="C20" s="2"/>
    </row>
    <row r="21" spans="1:11">
      <c r="A21" s="1" t="s">
        <v>27</v>
      </c>
      <c r="B21" s="2"/>
      <c r="C21" s="2"/>
      <c r="K21" s="18"/>
    </row>
    <row r="22" spans="1:11">
      <c r="A22" s="2"/>
      <c r="B22" s="2" t="s">
        <v>28</v>
      </c>
      <c r="C22" s="2"/>
      <c r="I22" s="3">
        <f>(I11*22.5)/12</f>
        <v>1068.75</v>
      </c>
      <c r="K22" s="2"/>
    </row>
    <row r="23" spans="1:11">
      <c r="A23" s="2"/>
      <c r="B23" s="2" t="s">
        <v>29</v>
      </c>
      <c r="C23" s="2"/>
      <c r="I23" s="3">
        <f>+'[2]393.80'!$J$28</f>
        <v>1700</v>
      </c>
      <c r="K23" s="2"/>
    </row>
    <row r="24" spans="1:11">
      <c r="A24" s="2"/>
      <c r="B24" s="2" t="s">
        <v>30</v>
      </c>
      <c r="C24" s="2"/>
      <c r="I24" s="3">
        <f>+'[2]393.80'!$J$29</f>
        <v>425</v>
      </c>
      <c r="K24" s="2"/>
    </row>
    <row r="25" spans="1:11">
      <c r="A25" s="2"/>
      <c r="B25" s="2" t="s">
        <v>32</v>
      </c>
      <c r="C25" s="2"/>
      <c r="I25" s="3">
        <f>I13*0.04/2</f>
        <v>297.35000000000002</v>
      </c>
      <c r="K25" s="2"/>
    </row>
    <row r="26" spans="1:11">
      <c r="A26" s="2"/>
      <c r="B26" s="2" t="s">
        <v>33</v>
      </c>
      <c r="C26" s="2"/>
      <c r="I26" s="3">
        <f>+'[2]393.80'!$J$31</f>
        <v>30</v>
      </c>
      <c r="K26" s="2"/>
    </row>
    <row r="27" spans="1:11">
      <c r="A27" s="2"/>
      <c r="B27" s="2" t="s">
        <v>34</v>
      </c>
      <c r="C27" s="2"/>
      <c r="I27" s="4">
        <f>+'[2]393.80'!$J$32</f>
        <v>100</v>
      </c>
      <c r="K27" s="2"/>
    </row>
    <row r="28" spans="1:11">
      <c r="A28" s="2"/>
      <c r="B28" s="2"/>
      <c r="C28" s="2"/>
      <c r="H28" t="s">
        <v>21</v>
      </c>
      <c r="I28" s="3">
        <f>SUM(I22:I27)</f>
        <v>3621.1</v>
      </c>
    </row>
    <row r="29" spans="1:11">
      <c r="A29" s="2"/>
      <c r="B29" s="2"/>
      <c r="C29" s="2"/>
    </row>
    <row r="30" spans="1:11">
      <c r="A30" s="2"/>
      <c r="B30" s="2"/>
      <c r="C30" s="2"/>
    </row>
    <row r="31" spans="1:11">
      <c r="A31" s="1" t="s">
        <v>35</v>
      </c>
      <c r="B31" s="2"/>
      <c r="C31" s="2"/>
      <c r="H31" t="s">
        <v>21</v>
      </c>
      <c r="I31" s="3">
        <f>+I19+I28</f>
        <v>31666.733749999999</v>
      </c>
      <c r="K31" s="1"/>
    </row>
    <row r="32" spans="1:11">
      <c r="A32" s="2"/>
      <c r="B32" s="2"/>
      <c r="C32" s="2"/>
      <c r="F32" s="16"/>
      <c r="G32" s="16"/>
      <c r="H32" s="16"/>
      <c r="I32" s="16"/>
    </row>
    <row r="33" spans="1:11">
      <c r="A33" s="1" t="s">
        <v>36</v>
      </c>
      <c r="B33" s="2"/>
      <c r="C33" s="2"/>
      <c r="F33" s="16"/>
      <c r="G33" s="16"/>
      <c r="H33" s="16"/>
      <c r="I33" s="16"/>
      <c r="K33" s="18"/>
    </row>
    <row r="34" spans="1:11">
      <c r="A34" s="2"/>
      <c r="B34" s="2" t="s">
        <v>37</v>
      </c>
      <c r="C34" s="2"/>
      <c r="F34" s="16"/>
      <c r="G34" s="16"/>
      <c r="H34" t="s">
        <v>21</v>
      </c>
      <c r="I34" s="17"/>
      <c r="K34" s="19"/>
    </row>
    <row r="35" spans="1:11">
      <c r="A35" s="2"/>
      <c r="B35" s="2"/>
      <c r="C35" s="2"/>
      <c r="F35" s="16"/>
      <c r="G35" s="16"/>
      <c r="K35" s="18"/>
    </row>
    <row r="36" spans="1:11">
      <c r="A36" s="1" t="s">
        <v>38</v>
      </c>
      <c r="B36" s="2"/>
      <c r="C36" s="2"/>
      <c r="F36" s="16"/>
      <c r="G36" s="16"/>
      <c r="H36" t="s">
        <v>21</v>
      </c>
      <c r="I36" s="3">
        <f>I34*0.12</f>
        <v>0</v>
      </c>
      <c r="K36" s="19"/>
    </row>
    <row r="37" spans="1:11">
      <c r="A37" s="2"/>
      <c r="B37" s="2"/>
      <c r="C37" s="2"/>
      <c r="F37" s="16"/>
      <c r="G37" s="16"/>
      <c r="K37" s="19"/>
    </row>
    <row r="38" spans="1:11" ht="15" thickBot="1">
      <c r="A38" s="1" t="s">
        <v>39</v>
      </c>
      <c r="B38" s="2"/>
      <c r="C38" s="2"/>
      <c r="F38" s="16"/>
      <c r="G38" s="16"/>
      <c r="H38" t="s">
        <v>21</v>
      </c>
      <c r="I38" s="23">
        <f>+I19+I28+I34+I36</f>
        <v>31666.733749999999</v>
      </c>
      <c r="K38" s="18"/>
    </row>
    <row r="39" spans="1:11" ht="15" thickTop="1">
      <c r="F39" s="16"/>
      <c r="G39" s="16"/>
      <c r="K39" s="19"/>
    </row>
    <row r="40" spans="1:11">
      <c r="F40" s="16"/>
      <c r="G40" s="16"/>
      <c r="K40" s="25"/>
    </row>
    <row r="41" spans="1:11">
      <c r="A41" s="5" t="s">
        <v>63</v>
      </c>
      <c r="F41" s="16"/>
      <c r="G41" s="16"/>
    </row>
    <row r="42" spans="1:11">
      <c r="F42" s="16"/>
      <c r="G42" s="16"/>
    </row>
    <row r="43" spans="1:11">
      <c r="A43" t="s">
        <v>40</v>
      </c>
      <c r="F43" s="16"/>
      <c r="G43" s="16"/>
      <c r="I43" s="6">
        <v>1</v>
      </c>
      <c r="K43" s="16"/>
    </row>
    <row r="44" spans="1:11">
      <c r="F44" s="16"/>
      <c r="G44" s="16"/>
      <c r="K44" s="16"/>
    </row>
    <row r="45" spans="1:11">
      <c r="A45" t="s">
        <v>41</v>
      </c>
      <c r="F45" s="16"/>
      <c r="G45" s="16"/>
      <c r="I45" s="3">
        <f>I43*I38</f>
        <v>31666.733749999999</v>
      </c>
      <c r="K45" s="16"/>
    </row>
    <row r="46" spans="1:11">
      <c r="F46" s="16"/>
      <c r="G46" s="16"/>
    </row>
    <row r="47" spans="1:11" ht="15" thickBot="1">
      <c r="A47" t="s">
        <v>64</v>
      </c>
      <c r="F47" s="16"/>
      <c r="G47" s="16"/>
      <c r="I47" s="23">
        <f>I45*4</f>
        <v>126666.935</v>
      </c>
      <c r="K47" s="16"/>
    </row>
    <row r="48" spans="1:11" ht="15" thickTop="1"/>
    <row r="50" spans="11:11" ht="14.5" customHeight="1">
      <c r="K50" s="24"/>
    </row>
    <row r="51" spans="11:11">
      <c r="K51" s="24"/>
    </row>
    <row r="52" spans="11:11">
      <c r="K52" s="24"/>
    </row>
  </sheetData>
  <sheetProtection algorithmName="SHA-512" hashValue="0URSbiLoEoNuR+I2JrnV/AaI8FbaXreIrNPFk4X20Ak8mX///XB0v7/GjKd5oPY1RDcWr3IagNXudoccDGVMGw==" saltValue="WBuBI2I3u7zL/6PFJ8xChQ==" spinCount="100000" sheet="1" objects="1" scenarios="1"/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D69D-65E2-407A-8850-6FB35346B46B}">
  <sheetPr>
    <pageSetUpPr fitToPage="1"/>
  </sheetPr>
  <dimension ref="A1:I63"/>
  <sheetViews>
    <sheetView topLeftCell="A16" zoomScale="115" zoomScaleNormal="115" workbookViewId="0">
      <selection activeCell="G20" sqref="G20"/>
    </sheetView>
  </sheetViews>
  <sheetFormatPr defaultColWidth="8.81640625" defaultRowHeight="14.5"/>
  <cols>
    <col min="1" max="1" width="8.81640625" style="27"/>
    <col min="2" max="2" width="52.54296875" style="27" customWidth="1"/>
    <col min="3" max="3" width="14.1796875" style="27" customWidth="1"/>
    <col min="4" max="4" width="13.26953125" style="27" customWidth="1"/>
    <col min="5" max="5" width="14.1796875" style="27" customWidth="1"/>
    <col min="6" max="7" width="8.81640625" style="27"/>
    <col min="8" max="8" width="42.54296875" style="27" bestFit="1" customWidth="1"/>
    <col min="9" max="9" width="11.26953125" style="27" bestFit="1" customWidth="1"/>
    <col min="10" max="16384" width="8.81640625" style="27"/>
  </cols>
  <sheetData>
    <row r="1" spans="1:9">
      <c r="A1" s="30" t="s">
        <v>59</v>
      </c>
    </row>
    <row r="2" spans="1:9">
      <c r="A2" s="30" t="s">
        <v>42</v>
      </c>
    </row>
    <row r="5" spans="1:9">
      <c r="A5" s="30" t="s">
        <v>58</v>
      </c>
      <c r="C5" s="31"/>
      <c r="E5" s="32">
        <v>41000</v>
      </c>
      <c r="H5" s="30" t="s">
        <v>43</v>
      </c>
    </row>
    <row r="6" spans="1:9">
      <c r="A6" s="30"/>
      <c r="C6" s="31"/>
      <c r="D6" s="34"/>
    </row>
    <row r="7" spans="1:9">
      <c r="H7" s="30" t="s">
        <v>44</v>
      </c>
      <c r="I7" s="33">
        <f>E5</f>
        <v>41000</v>
      </c>
    </row>
    <row r="8" spans="1:9">
      <c r="A8" s="30" t="s">
        <v>60</v>
      </c>
      <c r="C8" s="37" t="s">
        <v>45</v>
      </c>
      <c r="D8" s="37" t="s">
        <v>46</v>
      </c>
      <c r="H8" s="27" t="s">
        <v>47</v>
      </c>
    </row>
    <row r="9" spans="1:9">
      <c r="A9" s="30"/>
      <c r="B9" s="27" t="s">
        <v>48</v>
      </c>
      <c r="C9" s="33">
        <f>570*(22.5/12)</f>
        <v>1068.75</v>
      </c>
      <c r="D9" s="40">
        <v>0</v>
      </c>
      <c r="H9" s="35" t="s">
        <v>49</v>
      </c>
      <c r="I9" s="36">
        <f>D15</f>
        <v>2045</v>
      </c>
    </row>
    <row r="10" spans="1:9" ht="16" customHeight="1">
      <c r="B10" s="27" t="s">
        <v>50</v>
      </c>
      <c r="C10" s="33">
        <v>1700</v>
      </c>
      <c r="D10" s="40">
        <v>900</v>
      </c>
      <c r="H10" s="38" t="s">
        <v>51</v>
      </c>
      <c r="I10" s="39">
        <f>I7-I9</f>
        <v>38955</v>
      </c>
    </row>
    <row r="11" spans="1:9">
      <c r="B11" s="27" t="s">
        <v>52</v>
      </c>
      <c r="C11" s="33">
        <v>425</v>
      </c>
      <c r="D11" s="40">
        <v>225</v>
      </c>
      <c r="H11" s="35" t="s">
        <v>53</v>
      </c>
      <c r="I11" s="41">
        <f>(I10-33333)*0.25+2500</f>
        <v>3905.5</v>
      </c>
    </row>
    <row r="12" spans="1:9" ht="15" thickBot="1">
      <c r="B12" s="27" t="s">
        <v>32</v>
      </c>
      <c r="C12" s="33">
        <f>E5*0.04/2</f>
        <v>820</v>
      </c>
      <c r="D12" s="40">
        <f>C12</f>
        <v>820</v>
      </c>
      <c r="H12" s="30" t="s">
        <v>54</v>
      </c>
      <c r="I12" s="42">
        <f>I10-I11</f>
        <v>35049.5</v>
      </c>
    </row>
    <row r="13" spans="1:9" ht="15" thickTop="1">
      <c r="B13" s="27" t="s">
        <v>33</v>
      </c>
      <c r="C13" s="33">
        <v>30</v>
      </c>
      <c r="D13" s="40">
        <v>0</v>
      </c>
    </row>
    <row r="14" spans="1:9">
      <c r="B14" s="27" t="s">
        <v>34</v>
      </c>
      <c r="C14" s="36">
        <v>100</v>
      </c>
      <c r="D14" s="43">
        <v>100</v>
      </c>
    </row>
    <row r="15" spans="1:9">
      <c r="C15" s="44">
        <f>SUM(C9:C14)</f>
        <v>4143.75</v>
      </c>
      <c r="D15" s="44">
        <f>SUM(D9:D14)</f>
        <v>2045</v>
      </c>
      <c r="E15" s="45">
        <f>C15</f>
        <v>4143.75</v>
      </c>
    </row>
    <row r="17" spans="1:9">
      <c r="A17" s="30" t="s">
        <v>61</v>
      </c>
      <c r="D17" s="46"/>
      <c r="E17" s="47">
        <f>E5+C15</f>
        <v>45143.75</v>
      </c>
    </row>
    <row r="18" spans="1:9">
      <c r="A18" s="26"/>
      <c r="B18" s="26"/>
      <c r="C18" s="26"/>
      <c r="D18" s="26"/>
    </row>
    <row r="19" spans="1:9">
      <c r="A19" s="30" t="s">
        <v>36</v>
      </c>
      <c r="D19" s="26"/>
    </row>
    <row r="20" spans="1:9">
      <c r="B20" s="27" t="s">
        <v>55</v>
      </c>
      <c r="C20" s="48"/>
      <c r="D20" s="28"/>
      <c r="E20" s="29"/>
    </row>
    <row r="21" spans="1:9">
      <c r="A21" s="26"/>
      <c r="B21" s="26"/>
      <c r="C21" s="26"/>
      <c r="D21" s="26"/>
    </row>
    <row r="22" spans="1:9">
      <c r="A22" s="30" t="s">
        <v>56</v>
      </c>
      <c r="C22" s="48"/>
      <c r="D22" s="46"/>
      <c r="E22" s="49">
        <f>E20*0.12</f>
        <v>0</v>
      </c>
    </row>
    <row r="24" spans="1:9" ht="15" thickBot="1">
      <c r="A24" s="30" t="s">
        <v>65</v>
      </c>
      <c r="C24" s="48"/>
      <c r="D24" s="48"/>
      <c r="E24" s="50">
        <f>E17+E20+E22</f>
        <v>45143.75</v>
      </c>
    </row>
    <row r="25" spans="1:9" ht="15" thickTop="1"/>
    <row r="26" spans="1:9" customFormat="1">
      <c r="A26" s="5" t="s">
        <v>66</v>
      </c>
      <c r="F26" s="16"/>
      <c r="G26" s="16"/>
    </row>
    <row r="27" spans="1:9" customFormat="1">
      <c r="A27" s="5"/>
      <c r="F27" s="16"/>
      <c r="G27" s="16"/>
    </row>
    <row r="28" spans="1:9">
      <c r="A28" t="s">
        <v>57</v>
      </c>
      <c r="B28"/>
      <c r="C28"/>
      <c r="D28"/>
      <c r="E28" s="6">
        <v>1</v>
      </c>
      <c r="F28" s="16"/>
      <c r="G28" s="16"/>
      <c r="H28"/>
      <c r="I28" s="6">
        <v>1</v>
      </c>
    </row>
    <row r="29" spans="1:9">
      <c r="A29"/>
      <c r="B29"/>
      <c r="C29"/>
      <c r="D29"/>
      <c r="E29"/>
      <c r="F29" s="16"/>
      <c r="G29" s="16"/>
      <c r="H29"/>
      <c r="I29"/>
    </row>
    <row r="30" spans="1:9">
      <c r="A30" t="s">
        <v>41</v>
      </c>
      <c r="B30"/>
      <c r="C30"/>
      <c r="D30"/>
      <c r="E30" s="3">
        <f>+E24</f>
        <v>45143.75</v>
      </c>
      <c r="F30" s="16"/>
      <c r="G30" s="16"/>
      <c r="H30"/>
      <c r="I30" s="3">
        <f>I28*I21</f>
        <v>0</v>
      </c>
    </row>
    <row r="31" spans="1:9">
      <c r="A31"/>
      <c r="B31"/>
      <c r="C31"/>
      <c r="D31"/>
      <c r="E31"/>
      <c r="F31" s="16"/>
      <c r="G31" s="16"/>
      <c r="H31"/>
      <c r="I31"/>
    </row>
    <row r="32" spans="1:9" ht="15" thickBot="1">
      <c r="A32" t="s">
        <v>67</v>
      </c>
      <c r="B32"/>
      <c r="C32"/>
      <c r="D32"/>
      <c r="E32" s="51">
        <f>E30*4</f>
        <v>180575</v>
      </c>
      <c r="F32" s="16"/>
      <c r="G32" s="16"/>
      <c r="H32"/>
      <c r="I32" s="23">
        <f>I30*4</f>
        <v>0</v>
      </c>
    </row>
    <row r="33" spans="1:5" ht="15" thickTop="1"/>
    <row r="34" spans="1:5">
      <c r="B34" s="30"/>
    </row>
    <row r="36" spans="1:5">
      <c r="B36" s="30"/>
    </row>
    <row r="37" spans="1:5">
      <c r="A37" s="26"/>
      <c r="D37" s="26"/>
      <c r="E37" s="26"/>
    </row>
    <row r="38" spans="1:5">
      <c r="D38" s="26"/>
      <c r="E38" s="26"/>
    </row>
    <row r="39" spans="1:5">
      <c r="D39" s="26"/>
      <c r="E39" s="26"/>
    </row>
    <row r="40" spans="1:5" ht="23.25" customHeight="1">
      <c r="D40" s="26"/>
      <c r="E40" s="26"/>
    </row>
    <row r="41" spans="1:5">
      <c r="D41" s="26"/>
      <c r="E41" s="26"/>
    </row>
    <row r="42" spans="1:5">
      <c r="D42" s="26"/>
      <c r="E42" s="26"/>
    </row>
    <row r="43" spans="1:5"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 ht="14.5" customHeight="1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</sheetData>
  <sheetProtection algorithmName="SHA-512" hashValue="CbVpnk3G3aCArBwBzQ/UVbr4u7VjAiMJyIwQ070Up6NscEAZHI4Uei+zg9IANE3+a5J23gkoVQfZyT3z4Hxo2w==" saltValue="uFPFZ/SMdhbbLlpUm9zZvw==" spinCount="100000" sheet="1" objects="1" scenarios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Regular</vt:lpstr>
      <vt:lpstr>Reliever</vt:lpstr>
      <vt:lpstr>Liaison</vt:lpstr>
      <vt:lpstr>Reliever!Print_Area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Shara Valdeabella</dc:creator>
  <cp:keywords/>
  <dc:description/>
  <cp:lastModifiedBy>Majen Tong</cp:lastModifiedBy>
  <cp:revision/>
  <dcterms:created xsi:type="dcterms:W3CDTF">2021-10-02T09:26:36Z</dcterms:created>
  <dcterms:modified xsi:type="dcterms:W3CDTF">2022-07-19T11:30:52Z</dcterms:modified>
  <cp:category/>
  <cp:contentStatus/>
</cp:coreProperties>
</file>